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6\01_obec_ROZPOČET_2026\03_Upr_rozp_NIV_obec_2026_upr_k_15_06_2026\"/>
    </mc:Choice>
  </mc:AlternateContent>
  <xr:revisionPtr revIDLastSave="0" documentId="13_ncr:1_{4D830F3B-955B-4C14-8A6A-275289F2FCFC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komentář" sheetId="46" r:id="rId1"/>
    <sheet name="LB " sheetId="48" r:id="rId2"/>
    <sheet name="FR" sheetId="44" r:id="rId3"/>
    <sheet name="JN" sheetId="29" r:id="rId4"/>
    <sheet name="TA" sheetId="30" r:id="rId5"/>
    <sheet name="ŽB" sheetId="31" r:id="rId6"/>
    <sheet name="ČL" sheetId="32" r:id="rId7"/>
    <sheet name="NB" sheetId="39" r:id="rId8"/>
    <sheet name="SM" sheetId="40" r:id="rId9"/>
    <sheet name="JI" sheetId="41" r:id="rId10"/>
    <sheet name="TU" sheetId="42" r:id="rId11"/>
    <sheet name="sumář" sheetId="47" r:id="rId12"/>
  </sheets>
  <definedNames>
    <definedName name="_xlnm._FilterDatabase" localSheetId="6" hidden="1">ČL!$AK$1:$AK$239</definedName>
    <definedName name="_xlnm._FilterDatabase" localSheetId="2" hidden="1">FR!$G$1:$G$154</definedName>
    <definedName name="_xlnm._FilterDatabase" localSheetId="9" hidden="1">JI!$G$1:$G$122</definedName>
    <definedName name="_xlnm._FilterDatabase" localSheetId="3" hidden="1">JN!$AK$1:$AK$167</definedName>
    <definedName name="_xlnm._FilterDatabase" localSheetId="1" hidden="1">'LB '!$G$1:$G$468</definedName>
    <definedName name="_xlnm._FilterDatabase" localSheetId="7" hidden="1">NB!$G$1:$G$113</definedName>
    <definedName name="_xlnm._FilterDatabase" localSheetId="8" hidden="1">SM!$G$1:$G$145</definedName>
    <definedName name="_xlnm._FilterDatabase" localSheetId="4" hidden="1">TA!$AK$1:$AK$94</definedName>
    <definedName name="_xlnm._FilterDatabase" localSheetId="10" hidden="1">TU!$G$1:$G$172</definedName>
    <definedName name="_xlnm._FilterDatabase" localSheetId="5" hidden="1">ŽB!$AM$1:$AM$72</definedName>
    <definedName name="_xlnm.Print_Titles" localSheetId="2">FR!$5:$11</definedName>
    <definedName name="_xlnm.Print_Titles" localSheetId="1">'LB 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7" i="42" l="1"/>
  <c r="Q87" i="42"/>
  <c r="AG18" i="41"/>
  <c r="Q18" i="41"/>
  <c r="AG41" i="40"/>
  <c r="Q41" i="40"/>
  <c r="AG36" i="40"/>
  <c r="Q36" i="40"/>
  <c r="AG25" i="40"/>
  <c r="Q25" i="40"/>
  <c r="AG16" i="39"/>
  <c r="Q16" i="39"/>
  <c r="AG237" i="48"/>
  <c r="Q237" i="48"/>
  <c r="Q219" i="48"/>
  <c r="AG150" i="48"/>
  <c r="Q150" i="48"/>
  <c r="AG102" i="48"/>
  <c r="Q102" i="48"/>
  <c r="AG94" i="44"/>
  <c r="Q94" i="44"/>
  <c r="AG53" i="44"/>
  <c r="Q53" i="44"/>
  <c r="AG32" i="44"/>
  <c r="Q32" i="44"/>
  <c r="AG75" i="32"/>
  <c r="Q75" i="32"/>
  <c r="Q44" i="32" l="1"/>
  <c r="AG44" i="32"/>
  <c r="AG38" i="30"/>
  <c r="Q38" i="30"/>
  <c r="AG19" i="30"/>
  <c r="Q19" i="30"/>
  <c r="AG99" i="29"/>
  <c r="Q99" i="29"/>
  <c r="AG89" i="29"/>
  <c r="Q89" i="29"/>
  <c r="AG84" i="29"/>
  <c r="Q84" i="29"/>
  <c r="AG366" i="48" l="1"/>
  <c r="AG363" i="48"/>
  <c r="AG361" i="48"/>
  <c r="AG356" i="48"/>
  <c r="AG350" i="48"/>
  <c r="AG345" i="48"/>
  <c r="AG340" i="48"/>
  <c r="AG335" i="48"/>
  <c r="AG329" i="48"/>
  <c r="AG324" i="48"/>
  <c r="AG319" i="48"/>
  <c r="AG313" i="48"/>
  <c r="AG310" i="48"/>
  <c r="AG305" i="48"/>
  <c r="AG300" i="48"/>
  <c r="AG297" i="48"/>
  <c r="AG292" i="48"/>
  <c r="AG287" i="48"/>
  <c r="AG281" i="48"/>
  <c r="AG277" i="48"/>
  <c r="AG270" i="48"/>
  <c r="AG267" i="48"/>
  <c r="AG264" i="48"/>
  <c r="AG261" i="48"/>
  <c r="AG259" i="48"/>
  <c r="AG255" i="48"/>
  <c r="AG252" i="48"/>
  <c r="AG247" i="48"/>
  <c r="AG242" i="48"/>
  <c r="AG240" i="48"/>
  <c r="AG233" i="48"/>
  <c r="AG229" i="48"/>
  <c r="AG224" i="48"/>
  <c r="AG221" i="48"/>
  <c r="AG216" i="48"/>
  <c r="AG213" i="48"/>
  <c r="AG210" i="48"/>
  <c r="AG208" i="48"/>
  <c r="AG203" i="48"/>
  <c r="AG198" i="48"/>
  <c r="AG193" i="48"/>
  <c r="AG188" i="48"/>
  <c r="AG183" i="48"/>
  <c r="AG178" i="48"/>
  <c r="AG173" i="48"/>
  <c r="AG167" i="48"/>
  <c r="AG163" i="48"/>
  <c r="AG158" i="48"/>
  <c r="AG152" i="48"/>
  <c r="AG146" i="48"/>
  <c r="AG141" i="48"/>
  <c r="AG135" i="48"/>
  <c r="AG130" i="48"/>
  <c r="AG125" i="48"/>
  <c r="AG120" i="48"/>
  <c r="AG115" i="48"/>
  <c r="AG110" i="48"/>
  <c r="AG104" i="48"/>
  <c r="AG98" i="48"/>
  <c r="AG94" i="48"/>
  <c r="AG91" i="48"/>
  <c r="AG89" i="48"/>
  <c r="AG86" i="48"/>
  <c r="AG83" i="48"/>
  <c r="AG81" i="48"/>
  <c r="AG78" i="48"/>
  <c r="AG75" i="48"/>
  <c r="AG72" i="48"/>
  <c r="AG69" i="48"/>
  <c r="AG66" i="48"/>
  <c r="AG63" i="48"/>
  <c r="AG60" i="48"/>
  <c r="AG56" i="48"/>
  <c r="AG54" i="48"/>
  <c r="AG51" i="48"/>
  <c r="AG48" i="48"/>
  <c r="AG45" i="48"/>
  <c r="AG43" i="48"/>
  <c r="AG41" i="48"/>
  <c r="AG39" i="48"/>
  <c r="AG36" i="48"/>
  <c r="AG33" i="48"/>
  <c r="AG30" i="48"/>
  <c r="AG27" i="48"/>
  <c r="AG24" i="48"/>
  <c r="AG20" i="48"/>
  <c r="AG17" i="48"/>
  <c r="Q366" i="48"/>
  <c r="Q363" i="48"/>
  <c r="Q361" i="48"/>
  <c r="Q356" i="48"/>
  <c r="Q350" i="48"/>
  <c r="Q345" i="48"/>
  <c r="Q340" i="48"/>
  <c r="Q335" i="48"/>
  <c r="Q329" i="48"/>
  <c r="Q324" i="48"/>
  <c r="Q319" i="48"/>
  <c r="Q313" i="48"/>
  <c r="Q310" i="48"/>
  <c r="Q305" i="48"/>
  <c r="Q300" i="48"/>
  <c r="Q297" i="48"/>
  <c r="Q292" i="48"/>
  <c r="Q287" i="48"/>
  <c r="Q281" i="48"/>
  <c r="Q277" i="48"/>
  <c r="Q270" i="48"/>
  <c r="Q267" i="48"/>
  <c r="Q264" i="48"/>
  <c r="Q261" i="48"/>
  <c r="Q259" i="48"/>
  <c r="Q255" i="48"/>
  <c r="Q252" i="48"/>
  <c r="Q247" i="48"/>
  <c r="Q242" i="48"/>
  <c r="Q240" i="48"/>
  <c r="Q233" i="48"/>
  <c r="Q229" i="48"/>
  <c r="Q224" i="48"/>
  <c r="Q221" i="48"/>
  <c r="Q216" i="48"/>
  <c r="Q213" i="48"/>
  <c r="Q210" i="48"/>
  <c r="Q208" i="48"/>
  <c r="Q203" i="48"/>
  <c r="Q198" i="48"/>
  <c r="Q193" i="48"/>
  <c r="Q188" i="48"/>
  <c r="Q183" i="48"/>
  <c r="Q178" i="48"/>
  <c r="Q173" i="48"/>
  <c r="Q167" i="48"/>
  <c r="Q163" i="48"/>
  <c r="Q158" i="48"/>
  <c r="Q152" i="48"/>
  <c r="Q146" i="48"/>
  <c r="Q141" i="48"/>
  <c r="Q135" i="48"/>
  <c r="Q130" i="48"/>
  <c r="Q125" i="48"/>
  <c r="Q120" i="48"/>
  <c r="Q115" i="48"/>
  <c r="Q110" i="48"/>
  <c r="Q104" i="48"/>
  <c r="Q98" i="48"/>
  <c r="Q94" i="48"/>
  <c r="Q91" i="48"/>
  <c r="Q89" i="48"/>
  <c r="Q86" i="48"/>
  <c r="Q83" i="48"/>
  <c r="Q81" i="48"/>
  <c r="Q78" i="48"/>
  <c r="Q75" i="48"/>
  <c r="Q72" i="48"/>
  <c r="Q69" i="48"/>
  <c r="Q66" i="48"/>
  <c r="Q63" i="48"/>
  <c r="Q60" i="48"/>
  <c r="Q56" i="48"/>
  <c r="Q54" i="48"/>
  <c r="Q51" i="48"/>
  <c r="Q48" i="48"/>
  <c r="Q45" i="48"/>
  <c r="Q43" i="48"/>
  <c r="Q41" i="48"/>
  <c r="Q39" i="48"/>
  <c r="Q36" i="48"/>
  <c r="Q33" i="48"/>
  <c r="Q30" i="48"/>
  <c r="Q27" i="48"/>
  <c r="Q24" i="48"/>
  <c r="Q20" i="48"/>
  <c r="Q17" i="48"/>
  <c r="P85" i="44"/>
  <c r="AG102" i="44"/>
  <c r="AG97" i="44"/>
  <c r="AG89" i="44"/>
  <c r="AG87" i="44"/>
  <c r="AG81" i="44"/>
  <c r="AG79" i="44"/>
  <c r="AG76" i="44"/>
  <c r="AG71" i="44"/>
  <c r="AG68" i="44"/>
  <c r="AG65" i="44"/>
  <c r="AG60" i="44"/>
  <c r="AG55" i="44"/>
  <c r="AG49" i="44"/>
  <c r="AG44" i="44"/>
  <c r="AG39" i="44"/>
  <c r="AG34" i="44"/>
  <c r="AG29" i="44"/>
  <c r="AG24" i="44"/>
  <c r="AG16" i="44"/>
  <c r="Q102" i="44"/>
  <c r="Q97" i="44"/>
  <c r="Q89" i="44"/>
  <c r="Q87" i="44"/>
  <c r="Q81" i="44"/>
  <c r="Q79" i="44"/>
  <c r="Q76" i="44"/>
  <c r="Q71" i="44"/>
  <c r="Q68" i="44"/>
  <c r="Q65" i="44"/>
  <c r="Q60" i="44"/>
  <c r="Q55" i="44"/>
  <c r="Q49" i="44"/>
  <c r="Q44" i="44"/>
  <c r="Q39" i="44"/>
  <c r="Q34" i="44"/>
  <c r="Q29" i="44"/>
  <c r="Q24" i="44"/>
  <c r="Q16" i="44"/>
  <c r="AG79" i="29"/>
  <c r="AG74" i="29"/>
  <c r="Q79" i="29" l="1"/>
  <c r="Q74" i="29"/>
  <c r="C15" i="47"/>
  <c r="D15" i="47"/>
  <c r="E15" i="47"/>
  <c r="F15" i="47"/>
  <c r="G15" i="47"/>
  <c r="H15" i="47"/>
  <c r="I15" i="47"/>
  <c r="K15" i="47"/>
  <c r="L15" i="47"/>
  <c r="M15" i="47"/>
  <c r="N15" i="47"/>
  <c r="P15" i="47"/>
  <c r="Q15" i="47"/>
  <c r="R15" i="47"/>
  <c r="S15" i="47"/>
  <c r="W15" i="47"/>
  <c r="Y15" i="47"/>
  <c r="AA15" i="47"/>
  <c r="AB15" i="47"/>
  <c r="AC15" i="47"/>
  <c r="AD15" i="47"/>
  <c r="AH15" i="47"/>
  <c r="AK15" i="47"/>
  <c r="C16" i="47"/>
  <c r="D16" i="47"/>
  <c r="E16" i="47"/>
  <c r="F16" i="47"/>
  <c r="G16" i="47"/>
  <c r="H16" i="47"/>
  <c r="I16" i="47"/>
  <c r="K16" i="47"/>
  <c r="L16" i="47"/>
  <c r="M16" i="47"/>
  <c r="N16" i="47"/>
  <c r="P16" i="47"/>
  <c r="Q16" i="47"/>
  <c r="R16" i="47"/>
  <c r="S16" i="47"/>
  <c r="W16" i="47"/>
  <c r="Y16" i="47"/>
  <c r="AA16" i="47"/>
  <c r="AB16" i="47"/>
  <c r="AC16" i="47"/>
  <c r="AD16" i="47"/>
  <c r="AH16" i="47"/>
  <c r="AK16" i="47"/>
  <c r="C17" i="47"/>
  <c r="D17" i="47"/>
  <c r="E17" i="47"/>
  <c r="F17" i="47"/>
  <c r="G17" i="47"/>
  <c r="H17" i="47"/>
  <c r="I17" i="47"/>
  <c r="L17" i="47"/>
  <c r="M17" i="47"/>
  <c r="N17" i="47"/>
  <c r="P17" i="47"/>
  <c r="Q17" i="47"/>
  <c r="R17" i="47"/>
  <c r="S17" i="47"/>
  <c r="W17" i="47"/>
  <c r="Y17" i="47"/>
  <c r="AA17" i="47"/>
  <c r="AB17" i="47"/>
  <c r="AC17" i="47"/>
  <c r="AD17" i="47"/>
  <c r="AH17" i="47"/>
  <c r="AK17" i="47"/>
  <c r="C18" i="47"/>
  <c r="D18" i="47"/>
  <c r="E18" i="47"/>
  <c r="F18" i="47"/>
  <c r="G18" i="47"/>
  <c r="H18" i="47"/>
  <c r="I18" i="47"/>
  <c r="K18" i="47"/>
  <c r="L18" i="47"/>
  <c r="M18" i="47"/>
  <c r="N18" i="47"/>
  <c r="P18" i="47"/>
  <c r="Q18" i="47"/>
  <c r="R18" i="47"/>
  <c r="S18" i="47"/>
  <c r="W18" i="47"/>
  <c r="Y18" i="47"/>
  <c r="AA18" i="47"/>
  <c r="AB18" i="47"/>
  <c r="AC18" i="47"/>
  <c r="AD18" i="47"/>
  <c r="AH18" i="47"/>
  <c r="AK18" i="47"/>
  <c r="B18" i="47"/>
  <c r="B17" i="47"/>
  <c r="B16" i="47"/>
  <c r="B15" i="47"/>
  <c r="AK165" i="42"/>
  <c r="AJ165" i="42"/>
  <c r="AI165" i="42"/>
  <c r="AH165" i="42"/>
  <c r="AG165" i="42"/>
  <c r="AF165" i="42"/>
  <c r="AD165" i="42"/>
  <c r="Y165" i="42"/>
  <c r="X165" i="42"/>
  <c r="W165" i="42"/>
  <c r="U165" i="42"/>
  <c r="T165" i="42"/>
  <c r="S165" i="42"/>
  <c r="R165" i="42"/>
  <c r="Q165" i="42"/>
  <c r="O165" i="42"/>
  <c r="N165" i="42"/>
  <c r="M165" i="42"/>
  <c r="L165" i="42"/>
  <c r="K165" i="42"/>
  <c r="J165" i="42"/>
  <c r="I165" i="42"/>
  <c r="AK164" i="42"/>
  <c r="AJ164" i="42"/>
  <c r="AI164" i="42"/>
  <c r="AH164" i="42"/>
  <c r="AG164" i="42"/>
  <c r="AF164" i="42"/>
  <c r="AD164" i="42"/>
  <c r="Y164" i="42"/>
  <c r="X164" i="42"/>
  <c r="W164" i="42"/>
  <c r="U164" i="42"/>
  <c r="T164" i="42"/>
  <c r="S164" i="42"/>
  <c r="R164" i="42"/>
  <c r="Q164" i="42"/>
  <c r="O164" i="42"/>
  <c r="N164" i="42"/>
  <c r="M164" i="42"/>
  <c r="L164" i="42"/>
  <c r="K164" i="42"/>
  <c r="J164" i="42"/>
  <c r="I164" i="42"/>
  <c r="AK163" i="42"/>
  <c r="AJ163" i="42"/>
  <c r="AI163" i="42"/>
  <c r="AH163" i="42"/>
  <c r="AG163" i="42"/>
  <c r="AF163" i="42"/>
  <c r="AD163" i="42"/>
  <c r="Y163" i="42"/>
  <c r="X163" i="42"/>
  <c r="W163" i="42"/>
  <c r="U163" i="42"/>
  <c r="T163" i="42"/>
  <c r="S163" i="42"/>
  <c r="R163" i="42"/>
  <c r="Q163" i="42"/>
  <c r="O163" i="42"/>
  <c r="N163" i="42"/>
  <c r="M163" i="42"/>
  <c r="L163" i="42"/>
  <c r="K163" i="42"/>
  <c r="J163" i="42"/>
  <c r="I163" i="42"/>
  <c r="AS162" i="42"/>
  <c r="AR162" i="42"/>
  <c r="AQ162" i="42"/>
  <c r="AP162" i="42"/>
  <c r="AO162" i="42"/>
  <c r="AN162" i="42"/>
  <c r="AM162" i="42"/>
  <c r="AL162" i="42"/>
  <c r="AK162" i="42"/>
  <c r="AJ162" i="42"/>
  <c r="AI162" i="42"/>
  <c r="AH162" i="42"/>
  <c r="AG162" i="42"/>
  <c r="AF162" i="42"/>
  <c r="AE162" i="42"/>
  <c r="AD162" i="42"/>
  <c r="AC162" i="42"/>
  <c r="AB162" i="42"/>
  <c r="AA162" i="42"/>
  <c r="Z162" i="42"/>
  <c r="Y162" i="42"/>
  <c r="X162" i="42"/>
  <c r="W162" i="42"/>
  <c r="V162" i="42"/>
  <c r="U162" i="42"/>
  <c r="T162" i="42"/>
  <c r="S162" i="42"/>
  <c r="R162" i="42"/>
  <c r="Q162" i="42"/>
  <c r="P162" i="42"/>
  <c r="O162" i="42"/>
  <c r="N162" i="42"/>
  <c r="M162" i="42"/>
  <c r="L162" i="42"/>
  <c r="K162" i="42"/>
  <c r="J162" i="42"/>
  <c r="I162" i="42"/>
  <c r="AS161" i="42"/>
  <c r="AR161" i="42"/>
  <c r="AQ161" i="42"/>
  <c r="AP161" i="42"/>
  <c r="AO161" i="42"/>
  <c r="AN161" i="42"/>
  <c r="AM161" i="42"/>
  <c r="AL161" i="42"/>
  <c r="AK161" i="42"/>
  <c r="AJ161" i="42"/>
  <c r="AI161" i="42"/>
  <c r="AH161" i="42"/>
  <c r="AG161" i="42"/>
  <c r="AF161" i="42"/>
  <c r="AE161" i="42"/>
  <c r="AD161" i="42"/>
  <c r="AC161" i="42"/>
  <c r="AB161" i="42"/>
  <c r="AA161" i="42"/>
  <c r="Z161" i="42"/>
  <c r="Y161" i="42"/>
  <c r="X161" i="42"/>
  <c r="W161" i="42"/>
  <c r="V161" i="42"/>
  <c r="U161" i="42"/>
  <c r="T161" i="42"/>
  <c r="S161" i="42"/>
  <c r="R161" i="42"/>
  <c r="Q161" i="42"/>
  <c r="P161" i="42"/>
  <c r="O161" i="42"/>
  <c r="N161" i="42"/>
  <c r="M161" i="42"/>
  <c r="L161" i="42"/>
  <c r="K161" i="42"/>
  <c r="J161" i="42"/>
  <c r="I161" i="42"/>
  <c r="AS160" i="42"/>
  <c r="AR160" i="42"/>
  <c r="AQ160" i="42"/>
  <c r="AP160" i="42"/>
  <c r="AO160" i="42"/>
  <c r="AN160" i="42"/>
  <c r="AM160" i="42"/>
  <c r="AL160" i="42"/>
  <c r="AK160" i="42"/>
  <c r="AK155" i="42" s="1"/>
  <c r="AJ160" i="42"/>
  <c r="AI160" i="42"/>
  <c r="AH160" i="42"/>
  <c r="AG160" i="42"/>
  <c r="AF160" i="42"/>
  <c r="AE160" i="42"/>
  <c r="AD160" i="42"/>
  <c r="AC160" i="42"/>
  <c r="AB160" i="42"/>
  <c r="AA160" i="42"/>
  <c r="Z160" i="42"/>
  <c r="Y160" i="42"/>
  <c r="X160" i="42"/>
  <c r="W160" i="42"/>
  <c r="V160" i="42"/>
  <c r="U160" i="42"/>
  <c r="T160" i="42"/>
  <c r="S160" i="42"/>
  <c r="R160" i="42"/>
  <c r="Q160" i="42"/>
  <c r="P160" i="42"/>
  <c r="O160" i="42"/>
  <c r="N160" i="42"/>
  <c r="M160" i="42"/>
  <c r="L160" i="42"/>
  <c r="K160" i="42"/>
  <c r="J160" i="42"/>
  <c r="I160" i="42"/>
  <c r="AK159" i="42"/>
  <c r="AJ159" i="42"/>
  <c r="AI159" i="42"/>
  <c r="AH159" i="42"/>
  <c r="AG159" i="42"/>
  <c r="AF159" i="42"/>
  <c r="AD159" i="42"/>
  <c r="Y159" i="42"/>
  <c r="X159" i="42"/>
  <c r="W159" i="42"/>
  <c r="U159" i="42"/>
  <c r="T159" i="42"/>
  <c r="S159" i="42"/>
  <c r="R159" i="42"/>
  <c r="Q159" i="42"/>
  <c r="O159" i="42"/>
  <c r="N159" i="42"/>
  <c r="M159" i="42"/>
  <c r="L159" i="42"/>
  <c r="K159" i="42"/>
  <c r="J159" i="42"/>
  <c r="I159" i="42"/>
  <c r="AK158" i="42"/>
  <c r="AJ158" i="42"/>
  <c r="AI158" i="42"/>
  <c r="AH158" i="42"/>
  <c r="AG158" i="42"/>
  <c r="AF158" i="42"/>
  <c r="AD158" i="42"/>
  <c r="Y158" i="42"/>
  <c r="X158" i="42"/>
  <c r="W158" i="42"/>
  <c r="U158" i="42"/>
  <c r="T158" i="42"/>
  <c r="S158" i="42"/>
  <c r="R158" i="42"/>
  <c r="Q158" i="42"/>
  <c r="O158" i="42"/>
  <c r="N158" i="42"/>
  <c r="M158" i="42"/>
  <c r="L158" i="42"/>
  <c r="K158" i="42"/>
  <c r="J158" i="42"/>
  <c r="I158" i="42"/>
  <c r="AK157" i="42"/>
  <c r="AJ157" i="42"/>
  <c r="AI157" i="42"/>
  <c r="AH157" i="42"/>
  <c r="AF157" i="42"/>
  <c r="AD157" i="42"/>
  <c r="Y157" i="42"/>
  <c r="X157" i="42"/>
  <c r="X155" i="42" s="1"/>
  <c r="W157" i="42"/>
  <c r="U157" i="42"/>
  <c r="T157" i="42"/>
  <c r="S157" i="42"/>
  <c r="R157" i="42"/>
  <c r="O157" i="42"/>
  <c r="N157" i="42"/>
  <c r="M157" i="42"/>
  <c r="M155" i="42" s="1"/>
  <c r="L157" i="42"/>
  <c r="L155" i="42" s="1"/>
  <c r="K157" i="42"/>
  <c r="J157" i="42"/>
  <c r="I157" i="42"/>
  <c r="AK156" i="42"/>
  <c r="AJ156" i="42"/>
  <c r="AI156" i="42"/>
  <c r="AH156" i="42"/>
  <c r="AH155" i="42" s="1"/>
  <c r="AG156" i="42"/>
  <c r="AF156" i="42"/>
  <c r="AD156" i="42"/>
  <c r="Y156" i="42"/>
  <c r="X156" i="42"/>
  <c r="W156" i="42"/>
  <c r="W155" i="42" s="1"/>
  <c r="U156" i="42"/>
  <c r="T156" i="42"/>
  <c r="T155" i="42" s="1"/>
  <c r="S156" i="42"/>
  <c r="R156" i="42"/>
  <c r="Q156" i="42"/>
  <c r="O156" i="42"/>
  <c r="N156" i="42"/>
  <c r="M156" i="42"/>
  <c r="L156" i="42"/>
  <c r="K156" i="42"/>
  <c r="K155" i="42" s="1"/>
  <c r="J156" i="42"/>
  <c r="I156" i="42"/>
  <c r="O152" i="42"/>
  <c r="H22" i="47" s="1"/>
  <c r="N152" i="42"/>
  <c r="G22" i="47" s="1"/>
  <c r="M152" i="42"/>
  <c r="F22" i="47" s="1"/>
  <c r="L152" i="42"/>
  <c r="E22" i="47" s="1"/>
  <c r="K152" i="42"/>
  <c r="D22" i="47" s="1"/>
  <c r="J152" i="42"/>
  <c r="C22" i="47" s="1"/>
  <c r="I152" i="42"/>
  <c r="B22" i="47" s="1"/>
  <c r="AK151" i="42"/>
  <c r="AJ151" i="42"/>
  <c r="AI151" i="42"/>
  <c r="AH151" i="42"/>
  <c r="AG151" i="42"/>
  <c r="AF151" i="42"/>
  <c r="AD151" i="42"/>
  <c r="Y151" i="42"/>
  <c r="X151" i="42"/>
  <c r="W151" i="42"/>
  <c r="U151" i="42"/>
  <c r="T151" i="42"/>
  <c r="S151" i="42"/>
  <c r="R151" i="42"/>
  <c r="Q151" i="42"/>
  <c r="AR150" i="42"/>
  <c r="AL150" i="42"/>
  <c r="Z150" i="42"/>
  <c r="P150" i="42"/>
  <c r="AR149" i="42"/>
  <c r="AL149" i="42"/>
  <c r="Z149" i="42"/>
  <c r="P149" i="42"/>
  <c r="AR148" i="42"/>
  <c r="AL148" i="42"/>
  <c r="Z148" i="42"/>
  <c r="P148" i="42"/>
  <c r="AR147" i="42"/>
  <c r="AL147" i="42"/>
  <c r="Z147" i="42"/>
  <c r="P147" i="42"/>
  <c r="AK146" i="42"/>
  <c r="AJ146" i="42"/>
  <c r="AI146" i="42"/>
  <c r="AH146" i="42"/>
  <c r="AG146" i="42"/>
  <c r="AF146" i="42"/>
  <c r="AD146" i="42"/>
  <c r="Y146" i="42"/>
  <c r="X146" i="42"/>
  <c r="W146" i="42"/>
  <c r="U146" i="42"/>
  <c r="T146" i="42"/>
  <c r="S146" i="42"/>
  <c r="R146" i="42"/>
  <c r="Q146" i="42"/>
  <c r="AR145" i="42"/>
  <c r="AL145" i="42"/>
  <c r="Z145" i="42"/>
  <c r="P145" i="42"/>
  <c r="AR144" i="42"/>
  <c r="AL144" i="42"/>
  <c r="Z144" i="42"/>
  <c r="P144" i="42"/>
  <c r="AR143" i="42"/>
  <c r="AL143" i="42"/>
  <c r="Z143" i="42"/>
  <c r="P143" i="42"/>
  <c r="AK142" i="42"/>
  <c r="AJ142" i="42"/>
  <c r="AI142" i="42"/>
  <c r="AH142" i="42"/>
  <c r="AG142" i="42"/>
  <c r="AF142" i="42"/>
  <c r="AD142" i="42"/>
  <c r="Y142" i="42"/>
  <c r="X142" i="42"/>
  <c r="W142" i="42"/>
  <c r="U142" i="42"/>
  <c r="T142" i="42"/>
  <c r="S142" i="42"/>
  <c r="R142" i="42"/>
  <c r="Q142" i="42"/>
  <c r="AR141" i="42"/>
  <c r="AL141" i="42"/>
  <c r="Z141" i="42"/>
  <c r="P141" i="42"/>
  <c r="AR140" i="42"/>
  <c r="AL140" i="42"/>
  <c r="Z140" i="42"/>
  <c r="P140" i="42"/>
  <c r="AR139" i="42"/>
  <c r="AL139" i="42"/>
  <c r="Z139" i="42"/>
  <c r="P139" i="42"/>
  <c r="AK138" i="42"/>
  <c r="AJ138" i="42"/>
  <c r="AI138" i="42"/>
  <c r="AH138" i="42"/>
  <c r="AG138" i="42"/>
  <c r="AF138" i="42"/>
  <c r="AD138" i="42"/>
  <c r="Y138" i="42"/>
  <c r="X138" i="42"/>
  <c r="W138" i="42"/>
  <c r="U138" i="42"/>
  <c r="T138" i="42"/>
  <c r="S138" i="42"/>
  <c r="R138" i="42"/>
  <c r="Q138" i="42"/>
  <c r="AR137" i="42"/>
  <c r="AL137" i="42"/>
  <c r="Z137" i="42"/>
  <c r="P137" i="42"/>
  <c r="AR136" i="42"/>
  <c r="AL136" i="42"/>
  <c r="Z136" i="42"/>
  <c r="P136" i="42"/>
  <c r="AR135" i="42"/>
  <c r="AL135" i="42"/>
  <c r="Z135" i="42"/>
  <c r="P135" i="42"/>
  <c r="AR134" i="42"/>
  <c r="AL134" i="42"/>
  <c r="Z134" i="42"/>
  <c r="P134" i="42"/>
  <c r="AK133" i="42"/>
  <c r="AJ133" i="42"/>
  <c r="AI133" i="42"/>
  <c r="AH133" i="42"/>
  <c r="AG133" i="42"/>
  <c r="AF133" i="42"/>
  <c r="AD133" i="42"/>
  <c r="Y133" i="42"/>
  <c r="X133" i="42"/>
  <c r="W133" i="42"/>
  <c r="U133" i="42"/>
  <c r="T133" i="42"/>
  <c r="S133" i="42"/>
  <c r="R133" i="42"/>
  <c r="Q133" i="42"/>
  <c r="AR132" i="42"/>
  <c r="AO132" i="42"/>
  <c r="AL132" i="42"/>
  <c r="Z132" i="42"/>
  <c r="P132" i="42"/>
  <c r="AR131" i="42"/>
  <c r="AL131" i="42"/>
  <c r="Z131" i="42"/>
  <c r="P131" i="42"/>
  <c r="AR130" i="42"/>
  <c r="AL130" i="42"/>
  <c r="Z130" i="42"/>
  <c r="P130" i="42"/>
  <c r="AK129" i="42"/>
  <c r="AJ129" i="42"/>
  <c r="AI129" i="42"/>
  <c r="AH129" i="42"/>
  <c r="AG129" i="42"/>
  <c r="AF129" i="42"/>
  <c r="AD129" i="42"/>
  <c r="Y129" i="42"/>
  <c r="X129" i="42"/>
  <c r="W129" i="42"/>
  <c r="U129" i="42"/>
  <c r="T129" i="42"/>
  <c r="S129" i="42"/>
  <c r="R129" i="42"/>
  <c r="Q129" i="42"/>
  <c r="AR128" i="42"/>
  <c r="AL128" i="42"/>
  <c r="Z128" i="42"/>
  <c r="P128" i="42"/>
  <c r="AR127" i="42"/>
  <c r="AL127" i="42"/>
  <c r="Z127" i="42"/>
  <c r="P127" i="42"/>
  <c r="AK126" i="42"/>
  <c r="AJ126" i="42"/>
  <c r="AI126" i="42"/>
  <c r="AH126" i="42"/>
  <c r="AG126" i="42"/>
  <c r="AF126" i="42"/>
  <c r="AD126" i="42"/>
  <c r="Y126" i="42"/>
  <c r="X126" i="42"/>
  <c r="W126" i="42"/>
  <c r="U126" i="42"/>
  <c r="T126" i="42"/>
  <c r="S126" i="42"/>
  <c r="R126" i="42"/>
  <c r="Q126" i="42"/>
  <c r="AR125" i="42"/>
  <c r="AL125" i="42"/>
  <c r="Z125" i="42"/>
  <c r="P125" i="42"/>
  <c r="V125" i="42" s="1"/>
  <c r="AR124" i="42"/>
  <c r="AL124" i="42"/>
  <c r="Z124" i="42"/>
  <c r="P124" i="42"/>
  <c r="V124" i="42" s="1"/>
  <c r="AR123" i="42"/>
  <c r="AL123" i="42"/>
  <c r="Z123" i="42"/>
  <c r="P123" i="42"/>
  <c r="AK122" i="42"/>
  <c r="AJ122" i="42"/>
  <c r="AI122" i="42"/>
  <c r="AH122" i="42"/>
  <c r="AG122" i="42"/>
  <c r="AF122" i="42"/>
  <c r="AD122" i="42"/>
  <c r="Y122" i="42"/>
  <c r="X122" i="42"/>
  <c r="W122" i="42"/>
  <c r="U122" i="42"/>
  <c r="T122" i="42"/>
  <c r="S122" i="42"/>
  <c r="R122" i="42"/>
  <c r="Q122" i="42"/>
  <c r="AR121" i="42"/>
  <c r="AL121" i="42"/>
  <c r="Z121" i="42"/>
  <c r="P121" i="42"/>
  <c r="AK120" i="42"/>
  <c r="AJ120" i="42"/>
  <c r="AI120" i="42"/>
  <c r="AH120" i="42"/>
  <c r="AG120" i="42"/>
  <c r="AF120" i="42"/>
  <c r="AD120" i="42"/>
  <c r="Y120" i="42"/>
  <c r="X120" i="42"/>
  <c r="W120" i="42"/>
  <c r="U120" i="42"/>
  <c r="T120" i="42"/>
  <c r="S120" i="42"/>
  <c r="R120" i="42"/>
  <c r="Q120" i="42"/>
  <c r="AR119" i="42"/>
  <c r="AL119" i="42"/>
  <c r="Z119" i="42"/>
  <c r="P119" i="42"/>
  <c r="AR118" i="42"/>
  <c r="AL118" i="42"/>
  <c r="Z118" i="42"/>
  <c r="P118" i="42"/>
  <c r="AR117" i="42"/>
  <c r="AL117" i="42"/>
  <c r="Z117" i="42"/>
  <c r="P117" i="42"/>
  <c r="AK116" i="42"/>
  <c r="AJ116" i="42"/>
  <c r="AI116" i="42"/>
  <c r="AH116" i="42"/>
  <c r="AG116" i="42"/>
  <c r="AF116" i="42"/>
  <c r="AD116" i="42"/>
  <c r="Y116" i="42"/>
  <c r="X116" i="42"/>
  <c r="W116" i="42"/>
  <c r="U116" i="42"/>
  <c r="T116" i="42"/>
  <c r="S116" i="42"/>
  <c r="R116" i="42"/>
  <c r="Q116" i="42"/>
  <c r="AR115" i="42"/>
  <c r="AL115" i="42"/>
  <c r="Z115" i="42"/>
  <c r="P115" i="42"/>
  <c r="AK114" i="42"/>
  <c r="AJ114" i="42"/>
  <c r="AI114" i="42"/>
  <c r="AH114" i="42"/>
  <c r="AG114" i="42"/>
  <c r="AF114" i="42"/>
  <c r="AD114" i="42"/>
  <c r="Y114" i="42"/>
  <c r="X114" i="42"/>
  <c r="W114" i="42"/>
  <c r="U114" i="42"/>
  <c r="T114" i="42"/>
  <c r="S114" i="42"/>
  <c r="R114" i="42"/>
  <c r="Q114" i="42"/>
  <c r="AR113" i="42"/>
  <c r="AL113" i="42"/>
  <c r="Z113" i="42"/>
  <c r="P113" i="42"/>
  <c r="AR112" i="42"/>
  <c r="AL112" i="42"/>
  <c r="Z112" i="42"/>
  <c r="P112" i="42"/>
  <c r="AR111" i="42"/>
  <c r="AL111" i="42"/>
  <c r="Z111" i="42"/>
  <c r="P111" i="42"/>
  <c r="AR110" i="42"/>
  <c r="AL110" i="42"/>
  <c r="Z110" i="42"/>
  <c r="P110" i="42"/>
  <c r="AK109" i="42"/>
  <c r="AJ109" i="42"/>
  <c r="AI109" i="42"/>
  <c r="AH109" i="42"/>
  <c r="AG109" i="42"/>
  <c r="AF109" i="42"/>
  <c r="AD109" i="42"/>
  <c r="Y109" i="42"/>
  <c r="X109" i="42"/>
  <c r="W109" i="42"/>
  <c r="U109" i="42"/>
  <c r="T109" i="42"/>
  <c r="S109" i="42"/>
  <c r="R109" i="42"/>
  <c r="Q109" i="42"/>
  <c r="AR108" i="42"/>
  <c r="AL108" i="42"/>
  <c r="Z108" i="42"/>
  <c r="P108" i="42"/>
  <c r="AR107" i="42"/>
  <c r="AL107" i="42"/>
  <c r="Z107" i="42"/>
  <c r="P107" i="42"/>
  <c r="AK106" i="42"/>
  <c r="AJ106" i="42"/>
  <c r="AI106" i="42"/>
  <c r="AH106" i="42"/>
  <c r="AG106" i="42"/>
  <c r="AF106" i="42"/>
  <c r="AD106" i="42"/>
  <c r="Y106" i="42"/>
  <c r="X106" i="42"/>
  <c r="W106" i="42"/>
  <c r="U106" i="42"/>
  <c r="T106" i="42"/>
  <c r="S106" i="42"/>
  <c r="R106" i="42"/>
  <c r="Q106" i="42"/>
  <c r="AR105" i="42"/>
  <c r="AL105" i="42"/>
  <c r="Z105" i="42"/>
  <c r="P105" i="42"/>
  <c r="AR104" i="42"/>
  <c r="AL104" i="42"/>
  <c r="Z104" i="42"/>
  <c r="P104" i="42"/>
  <c r="AK103" i="42"/>
  <c r="AJ103" i="42"/>
  <c r="AI103" i="42"/>
  <c r="AH103" i="42"/>
  <c r="AG103" i="42"/>
  <c r="AF103" i="42"/>
  <c r="AD103" i="42"/>
  <c r="Y103" i="42"/>
  <c r="X103" i="42"/>
  <c r="W103" i="42"/>
  <c r="U103" i="42"/>
  <c r="T103" i="42"/>
  <c r="S103" i="42"/>
  <c r="R103" i="42"/>
  <c r="Q103" i="42"/>
  <c r="AR102" i="42"/>
  <c r="AL102" i="42"/>
  <c r="Z102" i="42"/>
  <c r="P102" i="42"/>
  <c r="AR101" i="42"/>
  <c r="AL101" i="42"/>
  <c r="Z101" i="42"/>
  <c r="P101" i="42"/>
  <c r="AR100" i="42"/>
  <c r="AL100" i="42"/>
  <c r="Z100" i="42"/>
  <c r="P100" i="42"/>
  <c r="AK99" i="42"/>
  <c r="AJ99" i="42"/>
  <c r="AI99" i="42"/>
  <c r="AH99" i="42"/>
  <c r="AG99" i="42"/>
  <c r="AF99" i="42"/>
  <c r="AD99" i="42"/>
  <c r="Y99" i="42"/>
  <c r="X99" i="42"/>
  <c r="W99" i="42"/>
  <c r="U99" i="42"/>
  <c r="T99" i="42"/>
  <c r="S99" i="42"/>
  <c r="R99" i="42"/>
  <c r="Q99" i="42"/>
  <c r="AR98" i="42"/>
  <c r="AL98" i="42"/>
  <c r="Z98" i="42"/>
  <c r="P98" i="42"/>
  <c r="AR97" i="42"/>
  <c r="AL97" i="42"/>
  <c r="Z97" i="42"/>
  <c r="P97" i="42"/>
  <c r="AK96" i="42"/>
  <c r="AJ96" i="42"/>
  <c r="AI96" i="42"/>
  <c r="AH96" i="42"/>
  <c r="AG96" i="42"/>
  <c r="AF96" i="42"/>
  <c r="AD96" i="42"/>
  <c r="Y96" i="42"/>
  <c r="X96" i="42"/>
  <c r="W96" i="42"/>
  <c r="U96" i="42"/>
  <c r="T96" i="42"/>
  <c r="S96" i="42"/>
  <c r="R96" i="42"/>
  <c r="Q96" i="42"/>
  <c r="AR95" i="42"/>
  <c r="AL95" i="42"/>
  <c r="Z95" i="42"/>
  <c r="P95" i="42"/>
  <c r="AR94" i="42"/>
  <c r="AL94" i="42"/>
  <c r="Z94" i="42"/>
  <c r="P94" i="42"/>
  <c r="V94" i="42" s="1"/>
  <c r="AR93" i="42"/>
  <c r="AL93" i="42"/>
  <c r="Z93" i="42"/>
  <c r="P93" i="42"/>
  <c r="AK92" i="42"/>
  <c r="AJ92" i="42"/>
  <c r="AI92" i="42"/>
  <c r="AH92" i="42"/>
  <c r="AG92" i="42"/>
  <c r="AF92" i="42"/>
  <c r="AD92" i="42"/>
  <c r="Y92" i="42"/>
  <c r="X92" i="42"/>
  <c r="W92" i="42"/>
  <c r="U92" i="42"/>
  <c r="T92" i="42"/>
  <c r="S92" i="42"/>
  <c r="R92" i="42"/>
  <c r="Q92" i="42"/>
  <c r="AR91" i="42"/>
  <c r="AL91" i="42"/>
  <c r="Z91" i="42"/>
  <c r="P91" i="42"/>
  <c r="AR90" i="42"/>
  <c r="AL90" i="42"/>
  <c r="Z90" i="42"/>
  <c r="P90" i="42"/>
  <c r="AK89" i="42"/>
  <c r="AJ89" i="42"/>
  <c r="AI89" i="42"/>
  <c r="AH89" i="42"/>
  <c r="AF89" i="42"/>
  <c r="AD89" i="42"/>
  <c r="Y89" i="42"/>
  <c r="X89" i="42"/>
  <c r="W89" i="42"/>
  <c r="U89" i="42"/>
  <c r="T89" i="42"/>
  <c r="S89" i="42"/>
  <c r="R89" i="42"/>
  <c r="AR88" i="42"/>
  <c r="AL88" i="42"/>
  <c r="Z88" i="42"/>
  <c r="P88" i="42"/>
  <c r="AR87" i="42"/>
  <c r="Z87" i="42"/>
  <c r="P87" i="42"/>
  <c r="AR86" i="42"/>
  <c r="AL86" i="42"/>
  <c r="Z86" i="42"/>
  <c r="P86" i="42"/>
  <c r="V86" i="42" s="1"/>
  <c r="AR85" i="42"/>
  <c r="AO85" i="42"/>
  <c r="AL85" i="42"/>
  <c r="Z85" i="42"/>
  <c r="P85" i="42"/>
  <c r="AK84" i="42"/>
  <c r="AJ84" i="42"/>
  <c r="AI84" i="42"/>
  <c r="AH84" i="42"/>
  <c r="AG84" i="42"/>
  <c r="AF84" i="42"/>
  <c r="AD84" i="42"/>
  <c r="Y84" i="42"/>
  <c r="X84" i="42"/>
  <c r="W84" i="42"/>
  <c r="U84" i="42"/>
  <c r="T84" i="42"/>
  <c r="S84" i="42"/>
  <c r="R84" i="42"/>
  <c r="Q84" i="42"/>
  <c r="AR83" i="42"/>
  <c r="AL83" i="42"/>
  <c r="Z83" i="42"/>
  <c r="P83" i="42"/>
  <c r="AR82" i="42"/>
  <c r="AL82" i="42"/>
  <c r="Z82" i="42"/>
  <c r="P82" i="42"/>
  <c r="AR81" i="42"/>
  <c r="AL81" i="42"/>
  <c r="Z81" i="42"/>
  <c r="P81" i="42"/>
  <c r="AK80" i="42"/>
  <c r="AJ80" i="42"/>
  <c r="AI80" i="42"/>
  <c r="AH80" i="42"/>
  <c r="AG80" i="42"/>
  <c r="AF80" i="42"/>
  <c r="AD80" i="42"/>
  <c r="Y80" i="42"/>
  <c r="X80" i="42"/>
  <c r="W80" i="42"/>
  <c r="U80" i="42"/>
  <c r="T80" i="42"/>
  <c r="S80" i="42"/>
  <c r="R80" i="42"/>
  <c r="Q80" i="42"/>
  <c r="AR79" i="42"/>
  <c r="AL79" i="42"/>
  <c r="Z79" i="42"/>
  <c r="P79" i="42"/>
  <c r="AR78" i="42"/>
  <c r="AL78" i="42"/>
  <c r="Z78" i="42"/>
  <c r="P78" i="42"/>
  <c r="AK77" i="42"/>
  <c r="AJ77" i="42"/>
  <c r="AI77" i="42"/>
  <c r="AH77" i="42"/>
  <c r="AG77" i="42"/>
  <c r="AF77" i="42"/>
  <c r="AD77" i="42"/>
  <c r="Y77" i="42"/>
  <c r="X77" i="42"/>
  <c r="W77" i="42"/>
  <c r="U77" i="42"/>
  <c r="T77" i="42"/>
  <c r="S77" i="42"/>
  <c r="R77" i="42"/>
  <c r="Q77" i="42"/>
  <c r="AR76" i="42"/>
  <c r="AL76" i="42"/>
  <c r="Z76" i="42"/>
  <c r="P76" i="42"/>
  <c r="AR75" i="42"/>
  <c r="AL75" i="42"/>
  <c r="Z75" i="42"/>
  <c r="P75" i="42"/>
  <c r="AR74" i="42"/>
  <c r="AL74" i="42"/>
  <c r="Z74" i="42"/>
  <c r="P74" i="42"/>
  <c r="AR73" i="42"/>
  <c r="AL73" i="42"/>
  <c r="Z73" i="42"/>
  <c r="P73" i="42"/>
  <c r="AK72" i="42"/>
  <c r="AJ72" i="42"/>
  <c r="AI72" i="42"/>
  <c r="AH72" i="42"/>
  <c r="AG72" i="42"/>
  <c r="AF72" i="42"/>
  <c r="AD72" i="42"/>
  <c r="Y72" i="42"/>
  <c r="X72" i="42"/>
  <c r="W72" i="42"/>
  <c r="U72" i="42"/>
  <c r="T72" i="42"/>
  <c r="S72" i="42"/>
  <c r="R72" i="42"/>
  <c r="Q72" i="42"/>
  <c r="AR71" i="42"/>
  <c r="AL71" i="42"/>
  <c r="Z71" i="42"/>
  <c r="P71" i="42"/>
  <c r="AR70" i="42"/>
  <c r="AL70" i="42"/>
  <c r="Z70" i="42"/>
  <c r="P70" i="42"/>
  <c r="AK69" i="42"/>
  <c r="AJ69" i="42"/>
  <c r="AI69" i="42"/>
  <c r="AH69" i="42"/>
  <c r="AG69" i="42"/>
  <c r="AF69" i="42"/>
  <c r="AD69" i="42"/>
  <c r="Y69" i="42"/>
  <c r="X69" i="42"/>
  <c r="W69" i="42"/>
  <c r="U69" i="42"/>
  <c r="T69" i="42"/>
  <c r="S69" i="42"/>
  <c r="R69" i="42"/>
  <c r="Q69" i="42"/>
  <c r="AR68" i="42"/>
  <c r="AL68" i="42"/>
  <c r="Z68" i="42"/>
  <c r="P68" i="42"/>
  <c r="AR67" i="42"/>
  <c r="AL67" i="42"/>
  <c r="Z67" i="42"/>
  <c r="P67" i="42"/>
  <c r="AR66" i="42"/>
  <c r="AL66" i="42"/>
  <c r="Z66" i="42"/>
  <c r="P66" i="42"/>
  <c r="AR65" i="42"/>
  <c r="AL65" i="42"/>
  <c r="Z65" i="42"/>
  <c r="P65" i="42"/>
  <c r="AK64" i="42"/>
  <c r="AJ64" i="42"/>
  <c r="AI64" i="42"/>
  <c r="AH64" i="42"/>
  <c r="AG64" i="42"/>
  <c r="AF64" i="42"/>
  <c r="AD64" i="42"/>
  <c r="Y64" i="42"/>
  <c r="X64" i="42"/>
  <c r="W64" i="42"/>
  <c r="U64" i="42"/>
  <c r="T64" i="42"/>
  <c r="S64" i="42"/>
  <c r="R64" i="42"/>
  <c r="Q64" i="42"/>
  <c r="AR63" i="42"/>
  <c r="AL63" i="42"/>
  <c r="Z63" i="42"/>
  <c r="P63" i="42"/>
  <c r="AK62" i="42"/>
  <c r="AJ62" i="42"/>
  <c r="AI62" i="42"/>
  <c r="AH62" i="42"/>
  <c r="AG62" i="42"/>
  <c r="AF62" i="42"/>
  <c r="AD62" i="42"/>
  <c r="Y62" i="42"/>
  <c r="X62" i="42"/>
  <c r="W62" i="42"/>
  <c r="U62" i="42"/>
  <c r="T62" i="42"/>
  <c r="S62" i="42"/>
  <c r="R62" i="42"/>
  <c r="Q62" i="42"/>
  <c r="AR61" i="42"/>
  <c r="AL61" i="42"/>
  <c r="Z61" i="42"/>
  <c r="P61" i="42"/>
  <c r="AR60" i="42"/>
  <c r="AL60" i="42"/>
  <c r="Z60" i="42"/>
  <c r="P60" i="42"/>
  <c r="AR59" i="42"/>
  <c r="AL59" i="42"/>
  <c r="Z59" i="42"/>
  <c r="P59" i="42"/>
  <c r="AR58" i="42"/>
  <c r="AL58" i="42"/>
  <c r="Z58" i="42"/>
  <c r="P58" i="42"/>
  <c r="AR57" i="42"/>
  <c r="AL57" i="42"/>
  <c r="Z57" i="42"/>
  <c r="P57" i="42"/>
  <c r="AK56" i="42"/>
  <c r="AJ56" i="42"/>
  <c r="AI56" i="42"/>
  <c r="AH56" i="42"/>
  <c r="AG56" i="42"/>
  <c r="AF56" i="42"/>
  <c r="AD56" i="42"/>
  <c r="Y56" i="42"/>
  <c r="X56" i="42"/>
  <c r="W56" i="42"/>
  <c r="U56" i="42"/>
  <c r="T56" i="42"/>
  <c r="S56" i="42"/>
  <c r="R56" i="42"/>
  <c r="Q56" i="42"/>
  <c r="AR55" i="42"/>
  <c r="AL55" i="42"/>
  <c r="Z55" i="42"/>
  <c r="P55" i="42"/>
  <c r="AR54" i="42"/>
  <c r="AL54" i="42"/>
  <c r="Z54" i="42"/>
  <c r="P54" i="42"/>
  <c r="AR53" i="42"/>
  <c r="AL53" i="42"/>
  <c r="Z53" i="42"/>
  <c r="P53" i="42"/>
  <c r="AK52" i="42"/>
  <c r="AJ52" i="42"/>
  <c r="AI52" i="42"/>
  <c r="AH52" i="42"/>
  <c r="AG52" i="42"/>
  <c r="AF52" i="42"/>
  <c r="AD52" i="42"/>
  <c r="Y52" i="42"/>
  <c r="X52" i="42"/>
  <c r="W52" i="42"/>
  <c r="U52" i="42"/>
  <c r="T52" i="42"/>
  <c r="S52" i="42"/>
  <c r="R52" i="42"/>
  <c r="Q52" i="42"/>
  <c r="AR51" i="42"/>
  <c r="AL51" i="42"/>
  <c r="Z51" i="42"/>
  <c r="P51" i="42"/>
  <c r="AR50" i="42"/>
  <c r="AL50" i="42"/>
  <c r="Z50" i="42"/>
  <c r="P50" i="42"/>
  <c r="AR49" i="42"/>
  <c r="AL49" i="42"/>
  <c r="Z49" i="42"/>
  <c r="P49" i="42"/>
  <c r="AK48" i="42"/>
  <c r="AJ48" i="42"/>
  <c r="AI48" i="42"/>
  <c r="AH48" i="42"/>
  <c r="AG48" i="42"/>
  <c r="AF48" i="42"/>
  <c r="AD48" i="42"/>
  <c r="Y48" i="42"/>
  <c r="X48" i="42"/>
  <c r="W48" i="42"/>
  <c r="U48" i="42"/>
  <c r="T48" i="42"/>
  <c r="S48" i="42"/>
  <c r="R48" i="42"/>
  <c r="Q48" i="42"/>
  <c r="AR47" i="42"/>
  <c r="AL47" i="42"/>
  <c r="Z47" i="42"/>
  <c r="P47" i="42"/>
  <c r="AR46" i="42"/>
  <c r="AL46" i="42"/>
  <c r="Z46" i="42"/>
  <c r="P46" i="42"/>
  <c r="AR45" i="42"/>
  <c r="AL45" i="42"/>
  <c r="Z45" i="42"/>
  <c r="P45" i="42"/>
  <c r="AR44" i="42"/>
  <c r="AL44" i="42"/>
  <c r="Z44" i="42"/>
  <c r="P44" i="42"/>
  <c r="AK43" i="42"/>
  <c r="AJ43" i="42"/>
  <c r="AI43" i="42"/>
  <c r="AH43" i="42"/>
  <c r="AG43" i="42"/>
  <c r="AF43" i="42"/>
  <c r="AD43" i="42"/>
  <c r="Y43" i="42"/>
  <c r="X43" i="42"/>
  <c r="W43" i="42"/>
  <c r="U43" i="42"/>
  <c r="T43" i="42"/>
  <c r="S43" i="42"/>
  <c r="R43" i="42"/>
  <c r="Q43" i="42"/>
  <c r="AR42" i="42"/>
  <c r="AL42" i="42"/>
  <c r="Z42" i="42"/>
  <c r="P42" i="42"/>
  <c r="AR41" i="42"/>
  <c r="AL41" i="42"/>
  <c r="Z41" i="42"/>
  <c r="P41" i="42"/>
  <c r="AR40" i="42"/>
  <c r="AL40" i="42"/>
  <c r="Z40" i="42"/>
  <c r="P40" i="42"/>
  <c r="AR39" i="42"/>
  <c r="AL39" i="42"/>
  <c r="Z39" i="42"/>
  <c r="P39" i="42"/>
  <c r="AK38" i="42"/>
  <c r="AJ38" i="42"/>
  <c r="AI38" i="42"/>
  <c r="AH38" i="42"/>
  <c r="AG38" i="42"/>
  <c r="AF38" i="42"/>
  <c r="AD38" i="42"/>
  <c r="Y38" i="42"/>
  <c r="X38" i="42"/>
  <c r="W38" i="42"/>
  <c r="U38" i="42"/>
  <c r="T38" i="42"/>
  <c r="S38" i="42"/>
  <c r="R38" i="42"/>
  <c r="Q38" i="42"/>
  <c r="AR37" i="42"/>
  <c r="AL37" i="42"/>
  <c r="Z37" i="42"/>
  <c r="P37" i="42"/>
  <c r="AK36" i="42"/>
  <c r="AJ36" i="42"/>
  <c r="AI36" i="42"/>
  <c r="AH36" i="42"/>
  <c r="AG36" i="42"/>
  <c r="AF36" i="42"/>
  <c r="AD36" i="42"/>
  <c r="Y36" i="42"/>
  <c r="X36" i="42"/>
  <c r="W36" i="42"/>
  <c r="U36" i="42"/>
  <c r="T36" i="42"/>
  <c r="S36" i="42"/>
  <c r="R36" i="42"/>
  <c r="Q36" i="42"/>
  <c r="AR35" i="42"/>
  <c r="AL35" i="42"/>
  <c r="Z35" i="42"/>
  <c r="P35" i="42"/>
  <c r="AR34" i="42"/>
  <c r="AL34" i="42"/>
  <c r="Z34" i="42"/>
  <c r="P34" i="42"/>
  <c r="AK33" i="42"/>
  <c r="AJ33" i="42"/>
  <c r="AI33" i="42"/>
  <c r="AH33" i="42"/>
  <c r="AG33" i="42"/>
  <c r="AF33" i="42"/>
  <c r="AD33" i="42"/>
  <c r="Y33" i="42"/>
  <c r="X33" i="42"/>
  <c r="W33" i="42"/>
  <c r="U33" i="42"/>
  <c r="T33" i="42"/>
  <c r="S33" i="42"/>
  <c r="R33" i="42"/>
  <c r="Q33" i="42"/>
  <c r="AR32" i="42"/>
  <c r="AL32" i="42"/>
  <c r="Z32" i="42"/>
  <c r="P32" i="42"/>
  <c r="AK31" i="42"/>
  <c r="AJ31" i="42"/>
  <c r="AI31" i="42"/>
  <c r="AH31" i="42"/>
  <c r="AG31" i="42"/>
  <c r="AF31" i="42"/>
  <c r="AD31" i="42"/>
  <c r="Y31" i="42"/>
  <c r="X31" i="42"/>
  <c r="W31" i="42"/>
  <c r="U31" i="42"/>
  <c r="T31" i="42"/>
  <c r="S31" i="42"/>
  <c r="R31" i="42"/>
  <c r="Q31" i="42"/>
  <c r="AR30" i="42"/>
  <c r="AL30" i="42"/>
  <c r="Z30" i="42"/>
  <c r="P30" i="42"/>
  <c r="AR29" i="42"/>
  <c r="AL29" i="42"/>
  <c r="Z29" i="42"/>
  <c r="P29" i="42"/>
  <c r="AK28" i="42"/>
  <c r="AJ28" i="42"/>
  <c r="AI28" i="42"/>
  <c r="AH28" i="42"/>
  <c r="AG28" i="42"/>
  <c r="AF28" i="42"/>
  <c r="AD28" i="42"/>
  <c r="Y28" i="42"/>
  <c r="X28" i="42"/>
  <c r="W28" i="42"/>
  <c r="U28" i="42"/>
  <c r="T28" i="42"/>
  <c r="S28" i="42"/>
  <c r="R28" i="42"/>
  <c r="Q28" i="42"/>
  <c r="AR27" i="42"/>
  <c r="AL27" i="42"/>
  <c r="Z27" i="42"/>
  <c r="P27" i="42"/>
  <c r="AR26" i="42"/>
  <c r="AL26" i="42"/>
  <c r="Z26" i="42"/>
  <c r="P26" i="42"/>
  <c r="AK25" i="42"/>
  <c r="AJ25" i="42"/>
  <c r="AI25" i="42"/>
  <c r="AH25" i="42"/>
  <c r="AG25" i="42"/>
  <c r="AF25" i="42"/>
  <c r="AD25" i="42"/>
  <c r="Y25" i="42"/>
  <c r="X25" i="42"/>
  <c r="W25" i="42"/>
  <c r="U25" i="42"/>
  <c r="T25" i="42"/>
  <c r="S25" i="42"/>
  <c r="R25" i="42"/>
  <c r="Q25" i="42"/>
  <c r="AR24" i="42"/>
  <c r="AL24" i="42"/>
  <c r="Z24" i="42"/>
  <c r="P24" i="42"/>
  <c r="AR23" i="42"/>
  <c r="AL23" i="42"/>
  <c r="Z23" i="42"/>
  <c r="P23" i="42"/>
  <c r="AK22" i="42"/>
  <c r="AJ22" i="42"/>
  <c r="AI22" i="42"/>
  <c r="AH22" i="42"/>
  <c r="AG22" i="42"/>
  <c r="AF22" i="42"/>
  <c r="AD22" i="42"/>
  <c r="Y22" i="42"/>
  <c r="X22" i="42"/>
  <c r="W22" i="42"/>
  <c r="U22" i="42"/>
  <c r="T22" i="42"/>
  <c r="S22" i="42"/>
  <c r="R22" i="42"/>
  <c r="Q22" i="42"/>
  <c r="AR21" i="42"/>
  <c r="AL21" i="42"/>
  <c r="Z21" i="42"/>
  <c r="P21" i="42"/>
  <c r="AR20" i="42"/>
  <c r="AL20" i="42"/>
  <c r="Z20" i="42"/>
  <c r="P20" i="42"/>
  <c r="AK19" i="42"/>
  <c r="AJ19" i="42"/>
  <c r="AI19" i="42"/>
  <c r="AH19" i="42"/>
  <c r="AG19" i="42"/>
  <c r="AF19" i="42"/>
  <c r="AD19" i="42"/>
  <c r="Y19" i="42"/>
  <c r="X19" i="42"/>
  <c r="W19" i="42"/>
  <c r="U19" i="42"/>
  <c r="T19" i="42"/>
  <c r="S19" i="42"/>
  <c r="R19" i="42"/>
  <c r="Q19" i="42"/>
  <c r="AR18" i="42"/>
  <c r="AL18" i="42"/>
  <c r="Z18" i="42"/>
  <c r="P18" i="42"/>
  <c r="AR17" i="42"/>
  <c r="AL17" i="42"/>
  <c r="Z17" i="42"/>
  <c r="P17" i="42"/>
  <c r="AR16" i="42"/>
  <c r="AL16" i="42"/>
  <c r="Z16" i="42"/>
  <c r="P16" i="42"/>
  <c r="AR15" i="42"/>
  <c r="AL15" i="42"/>
  <c r="Z15" i="42"/>
  <c r="P15" i="42"/>
  <c r="AR14" i="42"/>
  <c r="AR158" i="42" s="1"/>
  <c r="AL14" i="42"/>
  <c r="AL158" i="42" s="1"/>
  <c r="Z14" i="42"/>
  <c r="P14" i="42"/>
  <c r="AR13" i="42"/>
  <c r="AL13" i="42"/>
  <c r="Z13" i="42"/>
  <c r="P13" i="42"/>
  <c r="AR12" i="42"/>
  <c r="AL12" i="42"/>
  <c r="Z12" i="42"/>
  <c r="P12" i="42"/>
  <c r="AK121" i="41"/>
  <c r="AJ121" i="41"/>
  <c r="AI121" i="41"/>
  <c r="AH121" i="41"/>
  <c r="AG121" i="41"/>
  <c r="AF121" i="41"/>
  <c r="AD121" i="41"/>
  <c r="Y121" i="41"/>
  <c r="X121" i="41"/>
  <c r="W121" i="41"/>
  <c r="U121" i="41"/>
  <c r="T121" i="41"/>
  <c r="S121" i="41"/>
  <c r="R121" i="41"/>
  <c r="Q121" i="41"/>
  <c r="O121" i="41"/>
  <c r="N121" i="41"/>
  <c r="M121" i="41"/>
  <c r="L121" i="41"/>
  <c r="K121" i="41"/>
  <c r="J121" i="41"/>
  <c r="I121" i="41"/>
  <c r="AK120" i="41"/>
  <c r="AJ120" i="41"/>
  <c r="AI120" i="41"/>
  <c r="AH120" i="41"/>
  <c r="AG120" i="41"/>
  <c r="AF120" i="41"/>
  <c r="AD120" i="41"/>
  <c r="Y120" i="41"/>
  <c r="X120" i="41"/>
  <c r="W120" i="41"/>
  <c r="U120" i="41"/>
  <c r="T120" i="41"/>
  <c r="S120" i="41"/>
  <c r="R120" i="41"/>
  <c r="Q120" i="41"/>
  <c r="O120" i="41"/>
  <c r="N120" i="41"/>
  <c r="M120" i="41"/>
  <c r="L120" i="41"/>
  <c r="K120" i="41"/>
  <c r="J120" i="41"/>
  <c r="I120" i="41"/>
  <c r="AK119" i="41"/>
  <c r="AJ119" i="41"/>
  <c r="AI119" i="41"/>
  <c r="AH119" i="41"/>
  <c r="AG119" i="41"/>
  <c r="AF119" i="41"/>
  <c r="AD119" i="41"/>
  <c r="Y119" i="41"/>
  <c r="X119" i="41"/>
  <c r="W119" i="41"/>
  <c r="U119" i="41"/>
  <c r="T119" i="41"/>
  <c r="S119" i="41"/>
  <c r="R119" i="41"/>
  <c r="Q119" i="41"/>
  <c r="O119" i="41"/>
  <c r="N119" i="41"/>
  <c r="M119" i="41"/>
  <c r="L119" i="41"/>
  <c r="K119" i="41"/>
  <c r="J119" i="41"/>
  <c r="I119" i="41"/>
  <c r="AS118" i="41"/>
  <c r="AR118" i="41"/>
  <c r="AQ118" i="41"/>
  <c r="AP118" i="41"/>
  <c r="AO118" i="41"/>
  <c r="AN118" i="41"/>
  <c r="AM118" i="41"/>
  <c r="AL118" i="41"/>
  <c r="AK118" i="41"/>
  <c r="AJ118" i="41"/>
  <c r="AI118" i="41"/>
  <c r="AH118" i="41"/>
  <c r="AG118" i="41"/>
  <c r="AF118" i="41"/>
  <c r="AE118" i="41"/>
  <c r="AD118" i="41"/>
  <c r="AC118" i="41"/>
  <c r="AB118" i="41"/>
  <c r="AA118" i="41"/>
  <c r="Z118" i="41"/>
  <c r="Y118" i="41"/>
  <c r="X118" i="41"/>
  <c r="W118" i="41"/>
  <c r="V118" i="41"/>
  <c r="U118" i="41"/>
  <c r="T118" i="41"/>
  <c r="S118" i="41"/>
  <c r="R118" i="41"/>
  <c r="Q118" i="41"/>
  <c r="P118" i="41"/>
  <c r="O118" i="41"/>
  <c r="N118" i="41"/>
  <c r="M118" i="41"/>
  <c r="L118" i="41"/>
  <c r="K118" i="41"/>
  <c r="J118" i="41"/>
  <c r="I118" i="41"/>
  <c r="AS117" i="41"/>
  <c r="AR117" i="41"/>
  <c r="AQ117" i="41"/>
  <c r="AP117" i="41"/>
  <c r="AO117" i="41"/>
  <c r="AN117" i="41"/>
  <c r="AM117" i="41"/>
  <c r="AL117" i="41"/>
  <c r="AK117" i="41"/>
  <c r="AJ117" i="41"/>
  <c r="AI117" i="41"/>
  <c r="AH117" i="41"/>
  <c r="AG117" i="41"/>
  <c r="AF117" i="41"/>
  <c r="AE117" i="41"/>
  <c r="AD117" i="41"/>
  <c r="AC117" i="41"/>
  <c r="AB117" i="41"/>
  <c r="AA117" i="41"/>
  <c r="Z117" i="41"/>
  <c r="Y117" i="41"/>
  <c r="X117" i="41"/>
  <c r="W117" i="41"/>
  <c r="V117" i="41"/>
  <c r="U117" i="41"/>
  <c r="T117" i="41"/>
  <c r="S117" i="41"/>
  <c r="R117" i="41"/>
  <c r="Q117" i="41"/>
  <c r="P117" i="41"/>
  <c r="O117" i="41"/>
  <c r="N117" i="41"/>
  <c r="M117" i="41"/>
  <c r="L117" i="41"/>
  <c r="K117" i="41"/>
  <c r="J117" i="41"/>
  <c r="I117" i="41"/>
  <c r="AS116" i="41"/>
  <c r="AR116" i="41"/>
  <c r="AQ116" i="41"/>
  <c r="AP116" i="41"/>
  <c r="AO116" i="41"/>
  <c r="AN116" i="41"/>
  <c r="AM116" i="41"/>
  <c r="AL116" i="41"/>
  <c r="AK116" i="41"/>
  <c r="AJ116" i="41"/>
  <c r="AI116" i="41"/>
  <c r="AH116" i="41"/>
  <c r="AG116" i="41"/>
  <c r="AF116" i="41"/>
  <c r="AE116" i="41"/>
  <c r="AD116" i="41"/>
  <c r="AC116" i="41"/>
  <c r="AB116" i="41"/>
  <c r="AA116" i="41"/>
  <c r="Z116" i="41"/>
  <c r="Y116" i="41"/>
  <c r="X116" i="41"/>
  <c r="W116" i="41"/>
  <c r="V116" i="41"/>
  <c r="U116" i="41"/>
  <c r="T116" i="41"/>
  <c r="S116" i="41"/>
  <c r="R116" i="41"/>
  <c r="Q116" i="41"/>
  <c r="P116" i="41"/>
  <c r="O116" i="41"/>
  <c r="N116" i="41"/>
  <c r="M116" i="41"/>
  <c r="L116" i="41"/>
  <c r="K116" i="41"/>
  <c r="J116" i="41"/>
  <c r="I116" i="41"/>
  <c r="AK115" i="41"/>
  <c r="AK111" i="41" s="1"/>
  <c r="AJ115" i="41"/>
  <c r="AI115" i="41"/>
  <c r="AH115" i="41"/>
  <c r="AG115" i="41"/>
  <c r="AF115" i="41"/>
  <c r="AD115" i="41"/>
  <c r="Y115" i="41"/>
  <c r="X115" i="41"/>
  <c r="X111" i="41" s="1"/>
  <c r="W115" i="41"/>
  <c r="U115" i="41"/>
  <c r="T115" i="41"/>
  <c r="S115" i="41"/>
  <c r="R115" i="41"/>
  <c r="Q115" i="41"/>
  <c r="O115" i="41"/>
  <c r="N115" i="41"/>
  <c r="N111" i="41" s="1"/>
  <c r="M115" i="41"/>
  <c r="L115" i="41"/>
  <c r="K115" i="41"/>
  <c r="J115" i="41"/>
  <c r="I115" i="41"/>
  <c r="AS114" i="41"/>
  <c r="AR114" i="41"/>
  <c r="AQ114" i="41"/>
  <c r="AP114" i="41"/>
  <c r="AO114" i="41"/>
  <c r="AN114" i="41"/>
  <c r="AM114" i="41"/>
  <c r="AL114" i="41"/>
  <c r="AK114" i="41"/>
  <c r="AJ114" i="41"/>
  <c r="AI114" i="41"/>
  <c r="AH114" i="41"/>
  <c r="AG114" i="41"/>
  <c r="AF114" i="41"/>
  <c r="AE114" i="41"/>
  <c r="AD114" i="41"/>
  <c r="AC114" i="41"/>
  <c r="AB114" i="41"/>
  <c r="AA114" i="41"/>
  <c r="Z114" i="41"/>
  <c r="Y114" i="41"/>
  <c r="X114" i="41"/>
  <c r="W114" i="41"/>
  <c r="V114" i="41"/>
  <c r="U114" i="41"/>
  <c r="T114" i="41"/>
  <c r="S114" i="41"/>
  <c r="R114" i="41"/>
  <c r="Q114" i="41"/>
  <c r="P114" i="41"/>
  <c r="O114" i="41"/>
  <c r="N114" i="41"/>
  <c r="M114" i="41"/>
  <c r="L114" i="41"/>
  <c r="K114" i="41"/>
  <c r="J114" i="41"/>
  <c r="I114" i="41"/>
  <c r="AK113" i="41"/>
  <c r="AJ113" i="41"/>
  <c r="AI113" i="41"/>
  <c r="AH113" i="41"/>
  <c r="AG113" i="41"/>
  <c r="AF113" i="41"/>
  <c r="AF111" i="41" s="1"/>
  <c r="AD113" i="41"/>
  <c r="Y113" i="41"/>
  <c r="X113" i="41"/>
  <c r="W113" i="41"/>
  <c r="U113" i="41"/>
  <c r="T113" i="41"/>
  <c r="S113" i="41"/>
  <c r="R113" i="41"/>
  <c r="Q113" i="41"/>
  <c r="O113" i="41"/>
  <c r="N113" i="41"/>
  <c r="M113" i="41"/>
  <c r="L113" i="41"/>
  <c r="K113" i="41"/>
  <c r="J113" i="41"/>
  <c r="I113" i="41"/>
  <c r="AK112" i="41"/>
  <c r="AJ112" i="41"/>
  <c r="AJ111" i="41" s="1"/>
  <c r="AI112" i="41"/>
  <c r="AH112" i="41"/>
  <c r="AG112" i="41"/>
  <c r="AF112" i="41"/>
  <c r="AD112" i="41"/>
  <c r="Y112" i="41"/>
  <c r="Y111" i="41" s="1"/>
  <c r="X112" i="41"/>
  <c r="W112" i="41"/>
  <c r="U112" i="41"/>
  <c r="T112" i="41"/>
  <c r="T111" i="41" s="1"/>
  <c r="S112" i="41"/>
  <c r="R112" i="41"/>
  <c r="Q112" i="41"/>
  <c r="O112" i="41"/>
  <c r="O111" i="41" s="1"/>
  <c r="N112" i="41"/>
  <c r="M112" i="41"/>
  <c r="L112" i="41"/>
  <c r="K112" i="41"/>
  <c r="K111" i="41" s="1"/>
  <c r="J112" i="41"/>
  <c r="J111" i="41" s="1"/>
  <c r="I112" i="41"/>
  <c r="U111" i="41"/>
  <c r="O108" i="41"/>
  <c r="H21" i="47" s="1"/>
  <c r="N108" i="41"/>
  <c r="G21" i="47" s="1"/>
  <c r="M108" i="41"/>
  <c r="F21" i="47" s="1"/>
  <c r="L108" i="41"/>
  <c r="E21" i="47" s="1"/>
  <c r="K108" i="41"/>
  <c r="D21" i="47" s="1"/>
  <c r="J108" i="41"/>
  <c r="C21" i="47" s="1"/>
  <c r="I108" i="41"/>
  <c r="B21" i="47" s="1"/>
  <c r="AK107" i="41"/>
  <c r="AJ107" i="41"/>
  <c r="AI107" i="41"/>
  <c r="AH107" i="41"/>
  <c r="AG107" i="41"/>
  <c r="AF107" i="41"/>
  <c r="AD107" i="41"/>
  <c r="Y107" i="41"/>
  <c r="X107" i="41"/>
  <c r="W107" i="41"/>
  <c r="U107" i="41"/>
  <c r="T107" i="41"/>
  <c r="S107" i="41"/>
  <c r="R107" i="41"/>
  <c r="Q107" i="41"/>
  <c r="AR106" i="41"/>
  <c r="AL106" i="41"/>
  <c r="Z106" i="41"/>
  <c r="P106" i="41"/>
  <c r="AR105" i="41"/>
  <c r="AL105" i="41"/>
  <c r="Z105" i="41"/>
  <c r="P105" i="41"/>
  <c r="AR104" i="41"/>
  <c r="AL104" i="41"/>
  <c r="Z104" i="41"/>
  <c r="P104" i="41"/>
  <c r="V104" i="41" s="1"/>
  <c r="AR103" i="41"/>
  <c r="AL103" i="41"/>
  <c r="Z103" i="41"/>
  <c r="P103" i="41"/>
  <c r="AK102" i="41"/>
  <c r="AJ102" i="41"/>
  <c r="AI102" i="41"/>
  <c r="AH102" i="41"/>
  <c r="AG102" i="41"/>
  <c r="AF102" i="41"/>
  <c r="AD102" i="41"/>
  <c r="Y102" i="41"/>
  <c r="X102" i="41"/>
  <c r="W102" i="41"/>
  <c r="U102" i="41"/>
  <c r="T102" i="41"/>
  <c r="S102" i="41"/>
  <c r="R102" i="41"/>
  <c r="Q102" i="41"/>
  <c r="AR101" i="41"/>
  <c r="AL101" i="41"/>
  <c r="Z101" i="41"/>
  <c r="P101" i="41"/>
  <c r="AR100" i="41"/>
  <c r="AL100" i="41"/>
  <c r="Z100" i="41"/>
  <c r="P100" i="41"/>
  <c r="AR99" i="41"/>
  <c r="AL99" i="41"/>
  <c r="Z99" i="41"/>
  <c r="P99" i="41"/>
  <c r="AK98" i="41"/>
  <c r="AJ98" i="41"/>
  <c r="AI98" i="41"/>
  <c r="AH98" i="41"/>
  <c r="AG98" i="41"/>
  <c r="AF98" i="41"/>
  <c r="AD98" i="41"/>
  <c r="Y98" i="41"/>
  <c r="X98" i="41"/>
  <c r="W98" i="41"/>
  <c r="U98" i="41"/>
  <c r="T98" i="41"/>
  <c r="S98" i="41"/>
  <c r="R98" i="41"/>
  <c r="Q98" i="41"/>
  <c r="AR97" i="41"/>
  <c r="AL97" i="41"/>
  <c r="Z97" i="41"/>
  <c r="P97" i="41"/>
  <c r="AR96" i="41"/>
  <c r="AL96" i="41"/>
  <c r="Z96" i="41"/>
  <c r="P96" i="41"/>
  <c r="AK95" i="41"/>
  <c r="AJ95" i="41"/>
  <c r="AI95" i="41"/>
  <c r="AH95" i="41"/>
  <c r="AG95" i="41"/>
  <c r="AF95" i="41"/>
  <c r="AD95" i="41"/>
  <c r="Y95" i="41"/>
  <c r="X95" i="41"/>
  <c r="W95" i="41"/>
  <c r="U95" i="41"/>
  <c r="T95" i="41"/>
  <c r="S95" i="41"/>
  <c r="R95" i="41"/>
  <c r="Q95" i="41"/>
  <c r="AR94" i="41"/>
  <c r="AL94" i="41"/>
  <c r="Z94" i="41"/>
  <c r="P94" i="41"/>
  <c r="V94" i="41" s="1"/>
  <c r="AR93" i="41"/>
  <c r="AL93" i="41"/>
  <c r="Z93" i="41"/>
  <c r="P93" i="41"/>
  <c r="AR92" i="41"/>
  <c r="AL92" i="41"/>
  <c r="Z92" i="41"/>
  <c r="P92" i="41"/>
  <c r="AR91" i="41"/>
  <c r="AL91" i="41"/>
  <c r="Z91" i="41"/>
  <c r="P91" i="41"/>
  <c r="AR90" i="41"/>
  <c r="AL90" i="41"/>
  <c r="Z90" i="41"/>
  <c r="P90" i="41"/>
  <c r="V90" i="41" s="1"/>
  <c r="AR89" i="41"/>
  <c r="AL89" i="41"/>
  <c r="Z89" i="41"/>
  <c r="P89" i="41"/>
  <c r="AK88" i="41"/>
  <c r="AJ88" i="41"/>
  <c r="AI88" i="41"/>
  <c r="AH88" i="41"/>
  <c r="AG88" i="41"/>
  <c r="AF88" i="41"/>
  <c r="AD88" i="41"/>
  <c r="Y88" i="41"/>
  <c r="X88" i="41"/>
  <c r="W88" i="41"/>
  <c r="U88" i="41"/>
  <c r="T88" i="41"/>
  <c r="S88" i="41"/>
  <c r="R88" i="41"/>
  <c r="Q88" i="41"/>
  <c r="AR87" i="41"/>
  <c r="AL87" i="41"/>
  <c r="Z87" i="41"/>
  <c r="P87" i="41"/>
  <c r="AR86" i="41"/>
  <c r="AL86" i="41"/>
  <c r="Z86" i="41"/>
  <c r="P86" i="41"/>
  <c r="AR85" i="41"/>
  <c r="AL85" i="41"/>
  <c r="Z85" i="41"/>
  <c r="P85" i="41"/>
  <c r="V85" i="41" s="1"/>
  <c r="AR84" i="41"/>
  <c r="AL84" i="41"/>
  <c r="Z84" i="41"/>
  <c r="P84" i="41"/>
  <c r="V84" i="41" s="1"/>
  <c r="AK83" i="41"/>
  <c r="AJ83" i="41"/>
  <c r="AI83" i="41"/>
  <c r="AH83" i="41"/>
  <c r="AG83" i="41"/>
  <c r="AF83" i="41"/>
  <c r="AD83" i="41"/>
  <c r="Y83" i="41"/>
  <c r="X83" i="41"/>
  <c r="W83" i="41"/>
  <c r="U83" i="41"/>
  <c r="T83" i="41"/>
  <c r="S83" i="41"/>
  <c r="R83" i="41"/>
  <c r="Q83" i="41"/>
  <c r="AR82" i="41"/>
  <c r="AL82" i="41"/>
  <c r="Z82" i="41"/>
  <c r="P82" i="41"/>
  <c r="AR81" i="41"/>
  <c r="AL81" i="41"/>
  <c r="Z81" i="41"/>
  <c r="P81" i="41"/>
  <c r="AR80" i="41"/>
  <c r="AL80" i="41"/>
  <c r="Z80" i="41"/>
  <c r="P80" i="41"/>
  <c r="AR79" i="41"/>
  <c r="AL79" i="41"/>
  <c r="Z79" i="41"/>
  <c r="P79" i="41"/>
  <c r="AR78" i="41"/>
  <c r="AL78" i="41"/>
  <c r="Z78" i="41"/>
  <c r="P78" i="41"/>
  <c r="AK77" i="41"/>
  <c r="AJ77" i="41"/>
  <c r="AI77" i="41"/>
  <c r="AH77" i="41"/>
  <c r="AG77" i="41"/>
  <c r="AF77" i="41"/>
  <c r="AD77" i="41"/>
  <c r="Y77" i="41"/>
  <c r="X77" i="41"/>
  <c r="W77" i="41"/>
  <c r="U77" i="41"/>
  <c r="T77" i="41"/>
  <c r="S77" i="41"/>
  <c r="R77" i="41"/>
  <c r="Q77" i="41"/>
  <c r="AR76" i="41"/>
  <c r="AL76" i="41"/>
  <c r="Z76" i="41"/>
  <c r="P76" i="41"/>
  <c r="AR75" i="41"/>
  <c r="AL75" i="41"/>
  <c r="Z75" i="41"/>
  <c r="P75" i="41"/>
  <c r="AK74" i="41"/>
  <c r="AJ74" i="41"/>
  <c r="AI74" i="41"/>
  <c r="AH74" i="41"/>
  <c r="AG74" i="41"/>
  <c r="AF74" i="41"/>
  <c r="AD74" i="41"/>
  <c r="Y74" i="41"/>
  <c r="X74" i="41"/>
  <c r="W74" i="41"/>
  <c r="U74" i="41"/>
  <c r="T74" i="41"/>
  <c r="S74" i="41"/>
  <c r="R74" i="41"/>
  <c r="Q74" i="41"/>
  <c r="AR73" i="41"/>
  <c r="AL73" i="41"/>
  <c r="Z73" i="41"/>
  <c r="P73" i="41"/>
  <c r="AR72" i="41"/>
  <c r="AL72" i="41"/>
  <c r="Z72" i="41"/>
  <c r="P72" i="41"/>
  <c r="AR71" i="41"/>
  <c r="AL71" i="41"/>
  <c r="Z71" i="41"/>
  <c r="P71" i="41"/>
  <c r="AK70" i="41"/>
  <c r="AJ70" i="41"/>
  <c r="AI70" i="41"/>
  <c r="AH70" i="41"/>
  <c r="AG70" i="41"/>
  <c r="AF70" i="41"/>
  <c r="AD70" i="41"/>
  <c r="Y70" i="41"/>
  <c r="X70" i="41"/>
  <c r="W70" i="41"/>
  <c r="U70" i="41"/>
  <c r="T70" i="41"/>
  <c r="S70" i="41"/>
  <c r="R70" i="41"/>
  <c r="Q70" i="41"/>
  <c r="AR69" i="41"/>
  <c r="AL69" i="41"/>
  <c r="Z69" i="41"/>
  <c r="P69" i="41"/>
  <c r="AR68" i="41"/>
  <c r="AL68" i="41"/>
  <c r="Z68" i="41"/>
  <c r="P68" i="41"/>
  <c r="AK67" i="41"/>
  <c r="AJ67" i="41"/>
  <c r="AI67" i="41"/>
  <c r="AH67" i="41"/>
  <c r="AG67" i="41"/>
  <c r="AF67" i="41"/>
  <c r="AD67" i="41"/>
  <c r="Y67" i="41"/>
  <c r="X67" i="41"/>
  <c r="W67" i="41"/>
  <c r="U67" i="41"/>
  <c r="T67" i="41"/>
  <c r="S67" i="41"/>
  <c r="R67" i="41"/>
  <c r="Q67" i="41"/>
  <c r="AR66" i="41"/>
  <c r="AL66" i="41"/>
  <c r="Z66" i="41"/>
  <c r="P66" i="41"/>
  <c r="AR65" i="41"/>
  <c r="AL65" i="41"/>
  <c r="Z65" i="41"/>
  <c r="P65" i="41"/>
  <c r="AK64" i="41"/>
  <c r="AJ64" i="41"/>
  <c r="AI64" i="41"/>
  <c r="AH64" i="41"/>
  <c r="AG64" i="41"/>
  <c r="AF64" i="41"/>
  <c r="AD64" i="41"/>
  <c r="Y64" i="41"/>
  <c r="X64" i="41"/>
  <c r="W64" i="41"/>
  <c r="U64" i="41"/>
  <c r="T64" i="41"/>
  <c r="S64" i="41"/>
  <c r="R64" i="41"/>
  <c r="Q64" i="41"/>
  <c r="AR63" i="41"/>
  <c r="AL63" i="41"/>
  <c r="Z63" i="41"/>
  <c r="P63" i="41"/>
  <c r="AR62" i="41"/>
  <c r="AL62" i="41"/>
  <c r="Z62" i="41"/>
  <c r="P62" i="41"/>
  <c r="AR61" i="41"/>
  <c r="AL61" i="41"/>
  <c r="Z61" i="41"/>
  <c r="P61" i="41"/>
  <c r="AR60" i="41"/>
  <c r="AL60" i="41"/>
  <c r="Z60" i="41"/>
  <c r="P60" i="41"/>
  <c r="AK59" i="41"/>
  <c r="AJ59" i="41"/>
  <c r="AI59" i="41"/>
  <c r="AH59" i="41"/>
  <c r="AG59" i="41"/>
  <c r="AF59" i="41"/>
  <c r="AD59" i="41"/>
  <c r="Y59" i="41"/>
  <c r="X59" i="41"/>
  <c r="W59" i="41"/>
  <c r="U59" i="41"/>
  <c r="T59" i="41"/>
  <c r="S59" i="41"/>
  <c r="R59" i="41"/>
  <c r="Q59" i="41"/>
  <c r="AR58" i="41"/>
  <c r="AL58" i="41"/>
  <c r="Z58" i="41"/>
  <c r="P58" i="41"/>
  <c r="AR57" i="41"/>
  <c r="AL57" i="41"/>
  <c r="Z57" i="41"/>
  <c r="P57" i="41"/>
  <c r="AR56" i="41"/>
  <c r="AL56" i="41"/>
  <c r="Z56" i="41"/>
  <c r="P56" i="41"/>
  <c r="AR55" i="41"/>
  <c r="AL55" i="41"/>
  <c r="Z55" i="41"/>
  <c r="AO55" i="41" s="1"/>
  <c r="P55" i="41"/>
  <c r="AK54" i="41"/>
  <c r="AJ54" i="41"/>
  <c r="AI54" i="41"/>
  <c r="AH54" i="41"/>
  <c r="AG54" i="41"/>
  <c r="AF54" i="41"/>
  <c r="AD54" i="41"/>
  <c r="Y54" i="41"/>
  <c r="X54" i="41"/>
  <c r="W54" i="41"/>
  <c r="U54" i="41"/>
  <c r="T54" i="41"/>
  <c r="S54" i="41"/>
  <c r="R54" i="41"/>
  <c r="Q54" i="41"/>
  <c r="AR53" i="41"/>
  <c r="AL53" i="41"/>
  <c r="Z53" i="41"/>
  <c r="P53" i="41"/>
  <c r="AR52" i="41"/>
  <c r="AL52" i="41"/>
  <c r="Z52" i="41"/>
  <c r="P52" i="41"/>
  <c r="AK51" i="41"/>
  <c r="AJ51" i="41"/>
  <c r="AI51" i="41"/>
  <c r="AH51" i="41"/>
  <c r="AG51" i="41"/>
  <c r="AF51" i="41"/>
  <c r="AD51" i="41"/>
  <c r="Y51" i="41"/>
  <c r="X51" i="41"/>
  <c r="W51" i="41"/>
  <c r="U51" i="41"/>
  <c r="T51" i="41"/>
  <c r="S51" i="41"/>
  <c r="R51" i="41"/>
  <c r="Q51" i="41"/>
  <c r="AR50" i="41"/>
  <c r="AL50" i="41"/>
  <c r="Z50" i="41"/>
  <c r="P50" i="41"/>
  <c r="AK49" i="41"/>
  <c r="AJ49" i="41"/>
  <c r="AI49" i="41"/>
  <c r="AH49" i="41"/>
  <c r="AG49" i="41"/>
  <c r="AF49" i="41"/>
  <c r="AD49" i="41"/>
  <c r="Y49" i="41"/>
  <c r="X49" i="41"/>
  <c r="W49" i="41"/>
  <c r="U49" i="41"/>
  <c r="T49" i="41"/>
  <c r="S49" i="41"/>
  <c r="R49" i="41"/>
  <c r="Q49" i="41"/>
  <c r="AR48" i="41"/>
  <c r="AL48" i="41"/>
  <c r="Z48" i="41"/>
  <c r="P48" i="41"/>
  <c r="AR47" i="41"/>
  <c r="AL47" i="41"/>
  <c r="Z47" i="41"/>
  <c r="P47" i="41"/>
  <c r="AR46" i="41"/>
  <c r="AL46" i="41"/>
  <c r="Z46" i="41"/>
  <c r="P46" i="41"/>
  <c r="AR45" i="41"/>
  <c r="AL45" i="41"/>
  <c r="Z45" i="41"/>
  <c r="P45" i="41"/>
  <c r="AR44" i="41"/>
  <c r="AL44" i="41"/>
  <c r="Z44" i="41"/>
  <c r="P44" i="41"/>
  <c r="AK43" i="41"/>
  <c r="AJ43" i="41"/>
  <c r="AI43" i="41"/>
  <c r="AH43" i="41"/>
  <c r="AG43" i="41"/>
  <c r="AF43" i="41"/>
  <c r="AD43" i="41"/>
  <c r="Y43" i="41"/>
  <c r="X43" i="41"/>
  <c r="W43" i="41"/>
  <c r="U43" i="41"/>
  <c r="T43" i="41"/>
  <c r="S43" i="41"/>
  <c r="R43" i="41"/>
  <c r="Q43" i="41"/>
  <c r="AR42" i="41"/>
  <c r="AL42" i="41"/>
  <c r="Z42" i="41"/>
  <c r="P42" i="41"/>
  <c r="AR41" i="41"/>
  <c r="AL41" i="41"/>
  <c r="Z41" i="41"/>
  <c r="P41" i="41"/>
  <c r="AR40" i="41"/>
  <c r="AL40" i="41"/>
  <c r="Z40" i="41"/>
  <c r="P40" i="41"/>
  <c r="AR39" i="41"/>
  <c r="AL39" i="41"/>
  <c r="Z39" i="41"/>
  <c r="P39" i="41"/>
  <c r="AK38" i="41"/>
  <c r="AJ38" i="41"/>
  <c r="AI38" i="41"/>
  <c r="AH38" i="41"/>
  <c r="AG38" i="41"/>
  <c r="AF38" i="41"/>
  <c r="AD38" i="41"/>
  <c r="Y38" i="41"/>
  <c r="X38" i="41"/>
  <c r="W38" i="41"/>
  <c r="U38" i="41"/>
  <c r="T38" i="41"/>
  <c r="S38" i="41"/>
  <c r="R38" i="41"/>
  <c r="Q38" i="41"/>
  <c r="AR37" i="41"/>
  <c r="AL37" i="41"/>
  <c r="Z37" i="41"/>
  <c r="P37" i="41"/>
  <c r="AR36" i="41"/>
  <c r="AL36" i="41"/>
  <c r="Z36" i="41"/>
  <c r="P36" i="41"/>
  <c r="AR35" i="41"/>
  <c r="AL35" i="41"/>
  <c r="Z35" i="41"/>
  <c r="P35" i="41"/>
  <c r="AR34" i="41"/>
  <c r="AL34" i="41"/>
  <c r="Z34" i="41"/>
  <c r="P34" i="41"/>
  <c r="AK33" i="41"/>
  <c r="AJ33" i="41"/>
  <c r="AI33" i="41"/>
  <c r="AH33" i="41"/>
  <c r="AG33" i="41"/>
  <c r="AF33" i="41"/>
  <c r="AD33" i="41"/>
  <c r="Y33" i="41"/>
  <c r="X33" i="41"/>
  <c r="W33" i="41"/>
  <c r="U33" i="41"/>
  <c r="T33" i="41"/>
  <c r="S33" i="41"/>
  <c r="R33" i="41"/>
  <c r="Q33" i="41"/>
  <c r="AR32" i="41"/>
  <c r="AL32" i="41"/>
  <c r="Z32" i="41"/>
  <c r="P32" i="41"/>
  <c r="AR31" i="41"/>
  <c r="AL31" i="41"/>
  <c r="Z31" i="41"/>
  <c r="P31" i="41"/>
  <c r="AR30" i="41"/>
  <c r="AL30" i="41"/>
  <c r="Z30" i="41"/>
  <c r="P30" i="41"/>
  <c r="AR29" i="41"/>
  <c r="AL29" i="41"/>
  <c r="Z29" i="41"/>
  <c r="P29" i="41"/>
  <c r="AK28" i="41"/>
  <c r="AJ28" i="41"/>
  <c r="AI28" i="41"/>
  <c r="AH28" i="41"/>
  <c r="AG28" i="41"/>
  <c r="AF28" i="41"/>
  <c r="AD28" i="41"/>
  <c r="Y28" i="41"/>
  <c r="X28" i="41"/>
  <c r="W28" i="41"/>
  <c r="U28" i="41"/>
  <c r="T28" i="41"/>
  <c r="S28" i="41"/>
  <c r="R28" i="41"/>
  <c r="Q28" i="41"/>
  <c r="AR27" i="41"/>
  <c r="AL27" i="41"/>
  <c r="Z27" i="41"/>
  <c r="P27" i="41"/>
  <c r="AK26" i="41"/>
  <c r="AJ26" i="41"/>
  <c r="AI26" i="41"/>
  <c r="AH26" i="41"/>
  <c r="AG26" i="41"/>
  <c r="AF26" i="41"/>
  <c r="AD26" i="41"/>
  <c r="Y26" i="41"/>
  <c r="X26" i="41"/>
  <c r="W26" i="41"/>
  <c r="U26" i="41"/>
  <c r="T26" i="41"/>
  <c r="S26" i="41"/>
  <c r="R26" i="41"/>
  <c r="Q26" i="41"/>
  <c r="AR25" i="41"/>
  <c r="AL25" i="41"/>
  <c r="Z25" i="41"/>
  <c r="P25" i="41"/>
  <c r="AR24" i="41"/>
  <c r="AL24" i="41"/>
  <c r="Z24" i="41"/>
  <c r="P24" i="41"/>
  <c r="AR23" i="41"/>
  <c r="AL23" i="41"/>
  <c r="Z23" i="41"/>
  <c r="P23" i="41"/>
  <c r="AR22" i="41"/>
  <c r="AL22" i="41"/>
  <c r="Z22" i="41"/>
  <c r="P22" i="41"/>
  <c r="AR21" i="41"/>
  <c r="AL21" i="41"/>
  <c r="Z21" i="41"/>
  <c r="P21" i="41"/>
  <c r="AK20" i="41"/>
  <c r="AJ20" i="41"/>
  <c r="AI20" i="41"/>
  <c r="AH20" i="41"/>
  <c r="AF20" i="41"/>
  <c r="AD20" i="41"/>
  <c r="Y20" i="41"/>
  <c r="X20" i="41"/>
  <c r="W20" i="41"/>
  <c r="U20" i="41"/>
  <c r="T20" i="41"/>
  <c r="S20" i="41"/>
  <c r="R20" i="41"/>
  <c r="AR19" i="41"/>
  <c r="AL19" i="41"/>
  <c r="Z19" i="41"/>
  <c r="P19" i="41"/>
  <c r="AR18" i="41"/>
  <c r="Z18" i="41"/>
  <c r="P18" i="41"/>
  <c r="AR17" i="41"/>
  <c r="AL17" i="41"/>
  <c r="Z17" i="41"/>
  <c r="P17" i="41"/>
  <c r="AR16" i="41"/>
  <c r="AL16" i="41"/>
  <c r="Z16" i="41"/>
  <c r="P16" i="41"/>
  <c r="AK15" i="41"/>
  <c r="AJ15" i="41"/>
  <c r="AI15" i="41"/>
  <c r="AH15" i="41"/>
  <c r="AG15" i="41"/>
  <c r="AF15" i="41"/>
  <c r="AD15" i="41"/>
  <c r="Y15" i="41"/>
  <c r="X15" i="41"/>
  <c r="W15" i="41"/>
  <c r="U15" i="41"/>
  <c r="T15" i="41"/>
  <c r="S15" i="41"/>
  <c r="R15" i="41"/>
  <c r="Q15" i="41"/>
  <c r="AR14" i="41"/>
  <c r="AL14" i="41"/>
  <c r="Z14" i="41"/>
  <c r="P14" i="41"/>
  <c r="AR13" i="41"/>
  <c r="AL13" i="41"/>
  <c r="Z13" i="41"/>
  <c r="P13" i="41"/>
  <c r="AR12" i="41"/>
  <c r="AL12" i="41"/>
  <c r="Z12" i="41"/>
  <c r="P12" i="41"/>
  <c r="AK143" i="40"/>
  <c r="AJ143" i="40"/>
  <c r="AI143" i="40"/>
  <c r="AH143" i="40"/>
  <c r="AG143" i="40"/>
  <c r="AF143" i="40"/>
  <c r="AD143" i="40"/>
  <c r="Y143" i="40"/>
  <c r="X143" i="40"/>
  <c r="W143" i="40"/>
  <c r="U143" i="40"/>
  <c r="T143" i="40"/>
  <c r="S143" i="40"/>
  <c r="R143" i="40"/>
  <c r="Q143" i="40"/>
  <c r="O143" i="40"/>
  <c r="N143" i="40"/>
  <c r="M143" i="40"/>
  <c r="L143" i="40"/>
  <c r="K143" i="40"/>
  <c r="J143" i="40"/>
  <c r="I143" i="40"/>
  <c r="AK142" i="40"/>
  <c r="AJ142" i="40"/>
  <c r="AI142" i="40"/>
  <c r="AH142" i="40"/>
  <c r="AG142" i="40"/>
  <c r="AF142" i="40"/>
  <c r="AD142" i="40"/>
  <c r="Y142" i="40"/>
  <c r="X142" i="40"/>
  <c r="W142" i="40"/>
  <c r="U142" i="40"/>
  <c r="T142" i="40"/>
  <c r="S142" i="40"/>
  <c r="R142" i="40"/>
  <c r="Q142" i="40"/>
  <c r="O142" i="40"/>
  <c r="N142" i="40"/>
  <c r="M142" i="40"/>
  <c r="L142" i="40"/>
  <c r="K142" i="40"/>
  <c r="J142" i="40"/>
  <c r="I142" i="40"/>
  <c r="AK141" i="40"/>
  <c r="AJ141" i="40"/>
  <c r="AI141" i="40"/>
  <c r="AH141" i="40"/>
  <c r="AG141" i="40"/>
  <c r="AF141" i="40"/>
  <c r="AD141" i="40"/>
  <c r="Y141" i="40"/>
  <c r="X141" i="40"/>
  <c r="W141" i="40"/>
  <c r="U141" i="40"/>
  <c r="T141" i="40"/>
  <c r="S141" i="40"/>
  <c r="R141" i="40"/>
  <c r="Q141" i="40"/>
  <c r="O141" i="40"/>
  <c r="N141" i="40"/>
  <c r="M141" i="40"/>
  <c r="L141" i="40"/>
  <c r="K141" i="40"/>
  <c r="J141" i="40"/>
  <c r="I141" i="40"/>
  <c r="AS140" i="40"/>
  <c r="AR140" i="40"/>
  <c r="AQ140" i="40"/>
  <c r="AP140" i="40"/>
  <c r="AO140" i="40"/>
  <c r="AN140" i="40"/>
  <c r="AM140" i="40"/>
  <c r="AL140" i="40"/>
  <c r="AK140" i="40"/>
  <c r="AJ140" i="40"/>
  <c r="AI140" i="40"/>
  <c r="AH140" i="40"/>
  <c r="AG140" i="40"/>
  <c r="AF140" i="40"/>
  <c r="AE140" i="40"/>
  <c r="AD140" i="40"/>
  <c r="AC140" i="40"/>
  <c r="AB140" i="40"/>
  <c r="AA140" i="40"/>
  <c r="Z140" i="40"/>
  <c r="Y140" i="40"/>
  <c r="X140" i="40"/>
  <c r="W140" i="40"/>
  <c r="V140" i="40"/>
  <c r="U140" i="40"/>
  <c r="T140" i="40"/>
  <c r="S140" i="40"/>
  <c r="R140" i="40"/>
  <c r="Q140" i="40"/>
  <c r="P140" i="40"/>
  <c r="O140" i="40"/>
  <c r="N140" i="40"/>
  <c r="M140" i="40"/>
  <c r="L140" i="40"/>
  <c r="K140" i="40"/>
  <c r="J140" i="40"/>
  <c r="I140" i="40"/>
  <c r="AS139" i="40"/>
  <c r="AR139" i="40"/>
  <c r="AQ139" i="40"/>
  <c r="AP139" i="40"/>
  <c r="AO139" i="40"/>
  <c r="AN139" i="40"/>
  <c r="AM139" i="40"/>
  <c r="AL139" i="40"/>
  <c r="AK139" i="40"/>
  <c r="AJ139" i="40"/>
  <c r="AI139" i="40"/>
  <c r="AH139" i="40"/>
  <c r="AG139" i="40"/>
  <c r="AF139" i="40"/>
  <c r="AE139" i="40"/>
  <c r="AD139" i="40"/>
  <c r="AC139" i="40"/>
  <c r="AB139" i="40"/>
  <c r="AA139" i="40"/>
  <c r="Z139" i="40"/>
  <c r="Y139" i="40"/>
  <c r="X139" i="40"/>
  <c r="W139" i="40"/>
  <c r="V139" i="40"/>
  <c r="U139" i="40"/>
  <c r="T139" i="40"/>
  <c r="S139" i="40"/>
  <c r="R139" i="40"/>
  <c r="Q139" i="40"/>
  <c r="P139" i="40"/>
  <c r="O139" i="40"/>
  <c r="N139" i="40"/>
  <c r="M139" i="40"/>
  <c r="L139" i="40"/>
  <c r="K139" i="40"/>
  <c r="J139" i="40"/>
  <c r="I139" i="40"/>
  <c r="AK138" i="40"/>
  <c r="AJ138" i="40"/>
  <c r="AI138" i="40"/>
  <c r="AH138" i="40"/>
  <c r="AG138" i="40"/>
  <c r="AF138" i="40"/>
  <c r="AD138" i="40"/>
  <c r="Y138" i="40"/>
  <c r="X138" i="40"/>
  <c r="W138" i="40"/>
  <c r="U138" i="40"/>
  <c r="T138" i="40"/>
  <c r="S138" i="40"/>
  <c r="R138" i="40"/>
  <c r="Q138" i="40"/>
  <c r="O138" i="40"/>
  <c r="N138" i="40"/>
  <c r="M138" i="40"/>
  <c r="L138" i="40"/>
  <c r="K138" i="40"/>
  <c r="J138" i="40"/>
  <c r="I138" i="40"/>
  <c r="AK137" i="40"/>
  <c r="AJ137" i="40"/>
  <c r="AI137" i="40"/>
  <c r="AH137" i="40"/>
  <c r="AG137" i="40"/>
  <c r="AF137" i="40"/>
  <c r="AD137" i="40"/>
  <c r="Y137" i="40"/>
  <c r="X137" i="40"/>
  <c r="W137" i="40"/>
  <c r="U137" i="40"/>
  <c r="T137" i="40"/>
  <c r="S137" i="40"/>
  <c r="R137" i="40"/>
  <c r="Q137" i="40"/>
  <c r="O137" i="40"/>
  <c r="N137" i="40"/>
  <c r="M137" i="40"/>
  <c r="L137" i="40"/>
  <c r="K137" i="40"/>
  <c r="J137" i="40"/>
  <c r="I137" i="40"/>
  <c r="AK136" i="40"/>
  <c r="AJ136" i="40"/>
  <c r="AI136" i="40"/>
  <c r="AH136" i="40"/>
  <c r="AG136" i="40"/>
  <c r="AF136" i="40"/>
  <c r="AD136" i="40"/>
  <c r="Y136" i="40"/>
  <c r="X136" i="40"/>
  <c r="W136" i="40"/>
  <c r="U136" i="40"/>
  <c r="T136" i="40"/>
  <c r="S136" i="40"/>
  <c r="R136" i="40"/>
  <c r="Q136" i="40"/>
  <c r="O136" i="40"/>
  <c r="N136" i="40"/>
  <c r="M136" i="40"/>
  <c r="L136" i="40"/>
  <c r="K136" i="40"/>
  <c r="J136" i="40"/>
  <c r="I136" i="40"/>
  <c r="AK135" i="40"/>
  <c r="AJ135" i="40"/>
  <c r="AJ133" i="40" s="1"/>
  <c r="AI135" i="40"/>
  <c r="AH135" i="40"/>
  <c r="AG135" i="40"/>
  <c r="AF135" i="40"/>
  <c r="AD135" i="40"/>
  <c r="Y135" i="40"/>
  <c r="X135" i="40"/>
  <c r="W135" i="40"/>
  <c r="U135" i="40"/>
  <c r="T135" i="40"/>
  <c r="S135" i="40"/>
  <c r="R135" i="40"/>
  <c r="Q135" i="40"/>
  <c r="O135" i="40"/>
  <c r="N135" i="40"/>
  <c r="M135" i="40"/>
  <c r="L135" i="40"/>
  <c r="K135" i="40"/>
  <c r="J135" i="40"/>
  <c r="I135" i="40"/>
  <c r="AK134" i="40"/>
  <c r="AJ134" i="40"/>
  <c r="AI134" i="40"/>
  <c r="AI133" i="40" s="1"/>
  <c r="AH134" i="40"/>
  <c r="AG134" i="40"/>
  <c r="AF134" i="40"/>
  <c r="AF133" i="40" s="1"/>
  <c r="AD134" i="40"/>
  <c r="Y134" i="40"/>
  <c r="X134" i="40"/>
  <c r="W134" i="40"/>
  <c r="U134" i="40"/>
  <c r="T134" i="40"/>
  <c r="T133" i="40" s="1"/>
  <c r="S134" i="40"/>
  <c r="S133" i="40" s="1"/>
  <c r="R134" i="40"/>
  <c r="R133" i="40" s="1"/>
  <c r="Q134" i="40"/>
  <c r="O134" i="40"/>
  <c r="N134" i="40"/>
  <c r="M134" i="40"/>
  <c r="L134" i="40"/>
  <c r="L133" i="40" s="1"/>
  <c r="K134" i="40"/>
  <c r="J134" i="40"/>
  <c r="J133" i="40" s="1"/>
  <c r="I134" i="40"/>
  <c r="O130" i="40"/>
  <c r="H20" i="47" s="1"/>
  <c r="N130" i="40"/>
  <c r="G20" i="47" s="1"/>
  <c r="M130" i="40"/>
  <c r="F20" i="47" s="1"/>
  <c r="L130" i="40"/>
  <c r="E20" i="47" s="1"/>
  <c r="K130" i="40"/>
  <c r="D20" i="47" s="1"/>
  <c r="J130" i="40"/>
  <c r="C20" i="47" s="1"/>
  <c r="I130" i="40"/>
  <c r="B20" i="47" s="1"/>
  <c r="AK129" i="40"/>
  <c r="AJ129" i="40"/>
  <c r="AI129" i="40"/>
  <c r="AH129" i="40"/>
  <c r="AG129" i="40"/>
  <c r="AD129" i="40"/>
  <c r="Y129" i="40"/>
  <c r="X129" i="40"/>
  <c r="W129" i="40"/>
  <c r="U129" i="40"/>
  <c r="T129" i="40"/>
  <c r="S129" i="40"/>
  <c r="R129" i="40"/>
  <c r="Q129" i="40"/>
  <c r="AR128" i="40"/>
  <c r="AL128" i="40"/>
  <c r="Z128" i="40"/>
  <c r="P128" i="40"/>
  <c r="AR127" i="40"/>
  <c r="AL127" i="40"/>
  <c r="Z127" i="40"/>
  <c r="P127" i="40"/>
  <c r="AK126" i="40"/>
  <c r="AJ126" i="40"/>
  <c r="AI126" i="40"/>
  <c r="AH126" i="40"/>
  <c r="AG126" i="40"/>
  <c r="AD126" i="40"/>
  <c r="Y126" i="40"/>
  <c r="X126" i="40"/>
  <c r="W126" i="40"/>
  <c r="U126" i="40"/>
  <c r="T126" i="40"/>
  <c r="S126" i="40"/>
  <c r="R126" i="40"/>
  <c r="Q126" i="40"/>
  <c r="AR125" i="40"/>
  <c r="AL125" i="40"/>
  <c r="Z125" i="40"/>
  <c r="P125" i="40"/>
  <c r="AR124" i="40"/>
  <c r="AL124" i="40"/>
  <c r="Z124" i="40"/>
  <c r="P124" i="40"/>
  <c r="AR123" i="40"/>
  <c r="AL123" i="40"/>
  <c r="Z123" i="40"/>
  <c r="P123" i="40"/>
  <c r="AK122" i="40"/>
  <c r="AJ122" i="40"/>
  <c r="AI122" i="40"/>
  <c r="AH122" i="40"/>
  <c r="AG122" i="40"/>
  <c r="AD122" i="40"/>
  <c r="Y122" i="40"/>
  <c r="X122" i="40"/>
  <c r="W122" i="40"/>
  <c r="U122" i="40"/>
  <c r="T122" i="40"/>
  <c r="S122" i="40"/>
  <c r="R122" i="40"/>
  <c r="Q122" i="40"/>
  <c r="AR121" i="40"/>
  <c r="AL121" i="40"/>
  <c r="Z121" i="40"/>
  <c r="P121" i="40"/>
  <c r="AR120" i="40"/>
  <c r="AL120" i="40"/>
  <c r="Z120" i="40"/>
  <c r="P120" i="40"/>
  <c r="AK119" i="40"/>
  <c r="AJ119" i="40"/>
  <c r="AI119" i="40"/>
  <c r="AH119" i="40"/>
  <c r="AG119" i="40"/>
  <c r="AD119" i="40"/>
  <c r="Y119" i="40"/>
  <c r="X119" i="40"/>
  <c r="W119" i="40"/>
  <c r="U119" i="40"/>
  <c r="T119" i="40"/>
  <c r="S119" i="40"/>
  <c r="R119" i="40"/>
  <c r="Q119" i="40"/>
  <c r="AR118" i="40"/>
  <c r="AL118" i="40"/>
  <c r="Z118" i="40"/>
  <c r="P118" i="40"/>
  <c r="AR117" i="40"/>
  <c r="AL117" i="40"/>
  <c r="Z117" i="40"/>
  <c r="P117" i="40"/>
  <c r="AR116" i="40"/>
  <c r="AL116" i="40"/>
  <c r="Z116" i="40"/>
  <c r="P116" i="40"/>
  <c r="AR115" i="40"/>
  <c r="AL115" i="40"/>
  <c r="Z115" i="40"/>
  <c r="P115" i="40"/>
  <c r="AK114" i="40"/>
  <c r="AJ114" i="40"/>
  <c r="AI114" i="40"/>
  <c r="AH114" i="40"/>
  <c r="AG114" i="40"/>
  <c r="AF114" i="40"/>
  <c r="AD114" i="40"/>
  <c r="Y114" i="40"/>
  <c r="X114" i="40"/>
  <c r="W114" i="40"/>
  <c r="U114" i="40"/>
  <c r="T114" i="40"/>
  <c r="S114" i="40"/>
  <c r="R114" i="40"/>
  <c r="Q114" i="40"/>
  <c r="AR113" i="40"/>
  <c r="AL113" i="40"/>
  <c r="Z113" i="40"/>
  <c r="P113" i="40"/>
  <c r="AR112" i="40"/>
  <c r="AL112" i="40"/>
  <c r="Z112" i="40"/>
  <c r="P112" i="40"/>
  <c r="AR111" i="40"/>
  <c r="AL111" i="40"/>
  <c r="Z111" i="40"/>
  <c r="P111" i="40"/>
  <c r="AR110" i="40"/>
  <c r="AL110" i="40"/>
  <c r="Z110" i="40"/>
  <c r="P110" i="40"/>
  <c r="AK109" i="40"/>
  <c r="AJ109" i="40"/>
  <c r="AI109" i="40"/>
  <c r="AH109" i="40"/>
  <c r="AG109" i="40"/>
  <c r="AD109" i="40"/>
  <c r="Y109" i="40"/>
  <c r="X109" i="40"/>
  <c r="W109" i="40"/>
  <c r="U109" i="40"/>
  <c r="T109" i="40"/>
  <c r="S109" i="40"/>
  <c r="R109" i="40"/>
  <c r="Q109" i="40"/>
  <c r="AR108" i="40"/>
  <c r="AL108" i="40"/>
  <c r="Z108" i="40"/>
  <c r="P108" i="40"/>
  <c r="AR107" i="40"/>
  <c r="AL107" i="40"/>
  <c r="Z107" i="40"/>
  <c r="P107" i="40"/>
  <c r="AR106" i="40"/>
  <c r="AL106" i="40"/>
  <c r="Z106" i="40"/>
  <c r="P106" i="40"/>
  <c r="AR105" i="40"/>
  <c r="AL105" i="40"/>
  <c r="Z105" i="40"/>
  <c r="P105" i="40"/>
  <c r="AK104" i="40"/>
  <c r="AJ104" i="40"/>
  <c r="AI104" i="40"/>
  <c r="AH104" i="40"/>
  <c r="AG104" i="40"/>
  <c r="AD104" i="40"/>
  <c r="Y104" i="40"/>
  <c r="X104" i="40"/>
  <c r="W104" i="40"/>
  <c r="U104" i="40"/>
  <c r="T104" i="40"/>
  <c r="S104" i="40"/>
  <c r="R104" i="40"/>
  <c r="Q104" i="40"/>
  <c r="AR103" i="40"/>
  <c r="AL103" i="40"/>
  <c r="Z103" i="40"/>
  <c r="P103" i="40"/>
  <c r="AR102" i="40"/>
  <c r="AL102" i="40"/>
  <c r="Z102" i="40"/>
  <c r="P102" i="40"/>
  <c r="AK101" i="40"/>
  <c r="AJ101" i="40"/>
  <c r="AI101" i="40"/>
  <c r="AH101" i="40"/>
  <c r="AG101" i="40"/>
  <c r="AD101" i="40"/>
  <c r="Y101" i="40"/>
  <c r="X101" i="40"/>
  <c r="W101" i="40"/>
  <c r="U101" i="40"/>
  <c r="T101" i="40"/>
  <c r="S101" i="40"/>
  <c r="R101" i="40"/>
  <c r="Q101" i="40"/>
  <c r="AR100" i="40"/>
  <c r="AL100" i="40"/>
  <c r="Z100" i="40"/>
  <c r="P100" i="40"/>
  <c r="AR99" i="40"/>
  <c r="AL99" i="40"/>
  <c r="Z99" i="40"/>
  <c r="P99" i="40"/>
  <c r="AK98" i="40"/>
  <c r="AJ98" i="40"/>
  <c r="AI98" i="40"/>
  <c r="AH98" i="40"/>
  <c r="AG98" i="40"/>
  <c r="AF98" i="40"/>
  <c r="AD98" i="40"/>
  <c r="Y98" i="40"/>
  <c r="X98" i="40"/>
  <c r="W98" i="40"/>
  <c r="U98" i="40"/>
  <c r="T98" i="40"/>
  <c r="S98" i="40"/>
  <c r="R98" i="40"/>
  <c r="Q98" i="40"/>
  <c r="AR97" i="40"/>
  <c r="AL97" i="40"/>
  <c r="Z97" i="40"/>
  <c r="P97" i="40"/>
  <c r="AR96" i="40"/>
  <c r="AL96" i="40"/>
  <c r="Z96" i="40"/>
  <c r="P96" i="40"/>
  <c r="AR95" i="40"/>
  <c r="AL95" i="40"/>
  <c r="Z95" i="40"/>
  <c r="P95" i="40"/>
  <c r="AR94" i="40"/>
  <c r="AL94" i="40"/>
  <c r="Z94" i="40"/>
  <c r="V94" i="40"/>
  <c r="P94" i="40"/>
  <c r="AK93" i="40"/>
  <c r="AJ93" i="40"/>
  <c r="AI93" i="40"/>
  <c r="AH93" i="40"/>
  <c r="AG93" i="40"/>
  <c r="AD93" i="40"/>
  <c r="Y93" i="40"/>
  <c r="X93" i="40"/>
  <c r="W93" i="40"/>
  <c r="U93" i="40"/>
  <c r="T93" i="40"/>
  <c r="S93" i="40"/>
  <c r="R93" i="40"/>
  <c r="Q93" i="40"/>
  <c r="AR92" i="40"/>
  <c r="AL92" i="40"/>
  <c r="Z92" i="40"/>
  <c r="P92" i="40"/>
  <c r="AR91" i="40"/>
  <c r="AL91" i="40"/>
  <c r="Z91" i="40"/>
  <c r="P91" i="40"/>
  <c r="AK90" i="40"/>
  <c r="AJ90" i="40"/>
  <c r="AI90" i="40"/>
  <c r="AH90" i="40"/>
  <c r="AG90" i="40"/>
  <c r="AD90" i="40"/>
  <c r="Y90" i="40"/>
  <c r="X90" i="40"/>
  <c r="W90" i="40"/>
  <c r="U90" i="40"/>
  <c r="T90" i="40"/>
  <c r="S90" i="40"/>
  <c r="R90" i="40"/>
  <c r="Q90" i="40"/>
  <c r="AR89" i="40"/>
  <c r="AL89" i="40"/>
  <c r="Z89" i="40"/>
  <c r="P89" i="40"/>
  <c r="AR88" i="40"/>
  <c r="AL88" i="40"/>
  <c r="Z88" i="40"/>
  <c r="P88" i="40"/>
  <c r="AK87" i="40"/>
  <c r="AJ87" i="40"/>
  <c r="AI87" i="40"/>
  <c r="AH87" i="40"/>
  <c r="AG87" i="40"/>
  <c r="AD87" i="40"/>
  <c r="Y87" i="40"/>
  <c r="X87" i="40"/>
  <c r="W87" i="40"/>
  <c r="U87" i="40"/>
  <c r="T87" i="40"/>
  <c r="S87" i="40"/>
  <c r="R87" i="40"/>
  <c r="Q87" i="40"/>
  <c r="AR86" i="40"/>
  <c r="AL86" i="40"/>
  <c r="Z86" i="40"/>
  <c r="P86" i="40"/>
  <c r="AK85" i="40"/>
  <c r="AJ85" i="40"/>
  <c r="AI85" i="40"/>
  <c r="AH85" i="40"/>
  <c r="AG85" i="40"/>
  <c r="AF85" i="40"/>
  <c r="AD85" i="40"/>
  <c r="Y85" i="40"/>
  <c r="X85" i="40"/>
  <c r="W85" i="40"/>
  <c r="U85" i="40"/>
  <c r="T85" i="40"/>
  <c r="S85" i="40"/>
  <c r="R85" i="40"/>
  <c r="Q85" i="40"/>
  <c r="AR84" i="40"/>
  <c r="AL84" i="40"/>
  <c r="AS84" i="40" s="1"/>
  <c r="Z84" i="40"/>
  <c r="P84" i="40"/>
  <c r="AR83" i="40"/>
  <c r="AL83" i="40"/>
  <c r="Z83" i="40"/>
  <c r="P83" i="40"/>
  <c r="AR82" i="40"/>
  <c r="AL82" i="40"/>
  <c r="Z82" i="40"/>
  <c r="Z85" i="40" s="1"/>
  <c r="P82" i="40"/>
  <c r="P85" i="40" s="1"/>
  <c r="AK81" i="40"/>
  <c r="AJ81" i="40"/>
  <c r="AI81" i="40"/>
  <c r="AH81" i="40"/>
  <c r="AG81" i="40"/>
  <c r="AD81" i="40"/>
  <c r="Y81" i="40"/>
  <c r="X81" i="40"/>
  <c r="W81" i="40"/>
  <c r="U81" i="40"/>
  <c r="T81" i="40"/>
  <c r="S81" i="40"/>
  <c r="R81" i="40"/>
  <c r="Q81" i="40"/>
  <c r="AR80" i="40"/>
  <c r="AL80" i="40"/>
  <c r="Z80" i="40"/>
  <c r="P80" i="40"/>
  <c r="AR79" i="40"/>
  <c r="AL79" i="40"/>
  <c r="Z79" i="40"/>
  <c r="P79" i="40"/>
  <c r="AK78" i="40"/>
  <c r="AJ78" i="40"/>
  <c r="AI78" i="40"/>
  <c r="AH78" i="40"/>
  <c r="AG78" i="40"/>
  <c r="AF78" i="40"/>
  <c r="AD78" i="40"/>
  <c r="Y78" i="40"/>
  <c r="X78" i="40"/>
  <c r="W78" i="40"/>
  <c r="U78" i="40"/>
  <c r="T78" i="40"/>
  <c r="S78" i="40"/>
  <c r="R78" i="40"/>
  <c r="Q78" i="40"/>
  <c r="AR77" i="40"/>
  <c r="AL77" i="40"/>
  <c r="Z77" i="40"/>
  <c r="P77" i="40"/>
  <c r="AR76" i="40"/>
  <c r="AL76" i="40"/>
  <c r="Z76" i="40"/>
  <c r="P76" i="40"/>
  <c r="AR75" i="40"/>
  <c r="AL75" i="40"/>
  <c r="Z75" i="40"/>
  <c r="P75" i="40"/>
  <c r="AK74" i="40"/>
  <c r="AJ74" i="40"/>
  <c r="AI74" i="40"/>
  <c r="AH74" i="40"/>
  <c r="AG74" i="40"/>
  <c r="AD74" i="40"/>
  <c r="Y74" i="40"/>
  <c r="X74" i="40"/>
  <c r="W74" i="40"/>
  <c r="U74" i="40"/>
  <c r="T74" i="40"/>
  <c r="S74" i="40"/>
  <c r="R74" i="40"/>
  <c r="Q74" i="40"/>
  <c r="AR73" i="40"/>
  <c r="AL73" i="40"/>
  <c r="Z73" i="40"/>
  <c r="P73" i="40"/>
  <c r="AR72" i="40"/>
  <c r="AL72" i="40"/>
  <c r="Z72" i="40"/>
  <c r="P72" i="40"/>
  <c r="AK71" i="40"/>
  <c r="AJ71" i="40"/>
  <c r="AI71" i="40"/>
  <c r="AH71" i="40"/>
  <c r="AG71" i="40"/>
  <c r="AD71" i="40"/>
  <c r="Y71" i="40"/>
  <c r="X71" i="40"/>
  <c r="W71" i="40"/>
  <c r="U71" i="40"/>
  <c r="T71" i="40"/>
  <c r="S71" i="40"/>
  <c r="R71" i="40"/>
  <c r="Q71" i="40"/>
  <c r="AR70" i="40"/>
  <c r="AL70" i="40"/>
  <c r="Z70" i="40"/>
  <c r="P70" i="40"/>
  <c r="AR69" i="40"/>
  <c r="AL69" i="40"/>
  <c r="Z69" i="40"/>
  <c r="P69" i="40"/>
  <c r="AR68" i="40"/>
  <c r="AL68" i="40"/>
  <c r="Z68" i="40"/>
  <c r="P68" i="40"/>
  <c r="AR67" i="40"/>
  <c r="AL67" i="40"/>
  <c r="Z67" i="40"/>
  <c r="P67" i="40"/>
  <c r="AK66" i="40"/>
  <c r="AJ66" i="40"/>
  <c r="AI66" i="40"/>
  <c r="AH66" i="40"/>
  <c r="AG66" i="40"/>
  <c r="AF66" i="40"/>
  <c r="AD66" i="40"/>
  <c r="Y66" i="40"/>
  <c r="X66" i="40"/>
  <c r="W66" i="40"/>
  <c r="U66" i="40"/>
  <c r="T66" i="40"/>
  <c r="S66" i="40"/>
  <c r="R66" i="40"/>
  <c r="Q66" i="40"/>
  <c r="AR65" i="40"/>
  <c r="AL65" i="40"/>
  <c r="Z65" i="40"/>
  <c r="P65" i="40"/>
  <c r="AR64" i="40"/>
  <c r="AL64" i="40"/>
  <c r="Z64" i="40"/>
  <c r="P64" i="40"/>
  <c r="AR63" i="40"/>
  <c r="AL63" i="40"/>
  <c r="Z63" i="40"/>
  <c r="P63" i="40"/>
  <c r="AR62" i="40"/>
  <c r="AL62" i="40"/>
  <c r="Z62" i="40"/>
  <c r="P62" i="40"/>
  <c r="AK61" i="40"/>
  <c r="AJ61" i="40"/>
  <c r="AI61" i="40"/>
  <c r="AH61" i="40"/>
  <c r="AG61" i="40"/>
  <c r="AF61" i="40"/>
  <c r="AD61" i="40"/>
  <c r="Y61" i="40"/>
  <c r="X61" i="40"/>
  <c r="W61" i="40"/>
  <c r="U61" i="40"/>
  <c r="T61" i="40"/>
  <c r="S61" i="40"/>
  <c r="R61" i="40"/>
  <c r="Q61" i="40"/>
  <c r="AR60" i="40"/>
  <c r="AL60" i="40"/>
  <c r="Z60" i="40"/>
  <c r="P60" i="40"/>
  <c r="AR59" i="40"/>
  <c r="AL59" i="40"/>
  <c r="Z59" i="40"/>
  <c r="P59" i="40"/>
  <c r="AR58" i="40"/>
  <c r="AL58" i="40"/>
  <c r="Z58" i="40"/>
  <c r="P58" i="40"/>
  <c r="AR57" i="40"/>
  <c r="AL57" i="40"/>
  <c r="Z57" i="40"/>
  <c r="P57" i="40"/>
  <c r="AK56" i="40"/>
  <c r="AJ56" i="40"/>
  <c r="AI56" i="40"/>
  <c r="AH56" i="40"/>
  <c r="AG56" i="40"/>
  <c r="AD56" i="40"/>
  <c r="Y56" i="40"/>
  <c r="X56" i="40"/>
  <c r="W56" i="40"/>
  <c r="U56" i="40"/>
  <c r="T56" i="40"/>
  <c r="S56" i="40"/>
  <c r="R56" i="40"/>
  <c r="Q56" i="40"/>
  <c r="AR55" i="40"/>
  <c r="AL55" i="40"/>
  <c r="Z55" i="40"/>
  <c r="P55" i="40"/>
  <c r="AR54" i="40"/>
  <c r="AL54" i="40"/>
  <c r="Z54" i="40"/>
  <c r="P54" i="40"/>
  <c r="AR53" i="40"/>
  <c r="AL53" i="40"/>
  <c r="Z53" i="40"/>
  <c r="P53" i="40"/>
  <c r="AR52" i="40"/>
  <c r="AL52" i="40"/>
  <c r="Z52" i="40"/>
  <c r="P52" i="40"/>
  <c r="AK51" i="40"/>
  <c r="AJ51" i="40"/>
  <c r="AI51" i="40"/>
  <c r="AH51" i="40"/>
  <c r="AG51" i="40"/>
  <c r="AF51" i="40"/>
  <c r="AD51" i="40"/>
  <c r="Y51" i="40"/>
  <c r="X51" i="40"/>
  <c r="W51" i="40"/>
  <c r="U51" i="40"/>
  <c r="T51" i="40"/>
  <c r="S51" i="40"/>
  <c r="R51" i="40"/>
  <c r="Q51" i="40"/>
  <c r="AR50" i="40"/>
  <c r="AL50" i="40"/>
  <c r="Z50" i="40"/>
  <c r="P50" i="40"/>
  <c r="AR49" i="40"/>
  <c r="AL49" i="40"/>
  <c r="Z49" i="40"/>
  <c r="P49" i="40"/>
  <c r="AR48" i="40"/>
  <c r="AL48" i="40"/>
  <c r="Z48" i="40"/>
  <c r="P48" i="40"/>
  <c r="AR47" i="40"/>
  <c r="AL47" i="40"/>
  <c r="Z47" i="40"/>
  <c r="P47" i="40"/>
  <c r="AK46" i="40"/>
  <c r="AJ46" i="40"/>
  <c r="AI46" i="40"/>
  <c r="AH46" i="40"/>
  <c r="AG46" i="40"/>
  <c r="AF46" i="40"/>
  <c r="AD46" i="40"/>
  <c r="Y46" i="40"/>
  <c r="X46" i="40"/>
  <c r="W46" i="40"/>
  <c r="U46" i="40"/>
  <c r="T46" i="40"/>
  <c r="S46" i="40"/>
  <c r="R46" i="40"/>
  <c r="Q46" i="40"/>
  <c r="AR45" i="40"/>
  <c r="AL45" i="40"/>
  <c r="Z45" i="40"/>
  <c r="P45" i="40"/>
  <c r="AK44" i="40"/>
  <c r="AJ44" i="40"/>
  <c r="AI44" i="40"/>
  <c r="AH44" i="40"/>
  <c r="AF44" i="40"/>
  <c r="AD44" i="40"/>
  <c r="Y44" i="40"/>
  <c r="X44" i="40"/>
  <c r="W44" i="40"/>
  <c r="U44" i="40"/>
  <c r="T44" i="40"/>
  <c r="S44" i="40"/>
  <c r="R44" i="40"/>
  <c r="AR43" i="40"/>
  <c r="AL43" i="40"/>
  <c r="Z43" i="40"/>
  <c r="P43" i="40"/>
  <c r="AR42" i="40"/>
  <c r="AL42" i="40"/>
  <c r="Z42" i="40"/>
  <c r="P42" i="40"/>
  <c r="AR41" i="40"/>
  <c r="Z41" i="40"/>
  <c r="P41" i="40"/>
  <c r="AR40" i="40"/>
  <c r="AL40" i="40"/>
  <c r="Z40" i="40"/>
  <c r="P40" i="40"/>
  <c r="AR39" i="40"/>
  <c r="AL39" i="40"/>
  <c r="Z39" i="40"/>
  <c r="P39" i="40"/>
  <c r="AK38" i="40"/>
  <c r="AJ38" i="40"/>
  <c r="AI38" i="40"/>
  <c r="AH38" i="40"/>
  <c r="AF38" i="40"/>
  <c r="AD38" i="40"/>
  <c r="Y38" i="40"/>
  <c r="X38" i="40"/>
  <c r="W38" i="40"/>
  <c r="U38" i="40"/>
  <c r="T38" i="40"/>
  <c r="S38" i="40"/>
  <c r="R38" i="40"/>
  <c r="AR37" i="40"/>
  <c r="AL37" i="40"/>
  <c r="Z37" i="40"/>
  <c r="P37" i="40"/>
  <c r="AR36" i="40"/>
  <c r="Z36" i="40"/>
  <c r="P36" i="40"/>
  <c r="AR35" i="40"/>
  <c r="AL35" i="40"/>
  <c r="Z35" i="40"/>
  <c r="P35" i="40"/>
  <c r="AR34" i="40"/>
  <c r="AL34" i="40"/>
  <c r="Z34" i="40"/>
  <c r="P34" i="40"/>
  <c r="AK33" i="40"/>
  <c r="AJ33" i="40"/>
  <c r="AI33" i="40"/>
  <c r="AH33" i="40"/>
  <c r="AG33" i="40"/>
  <c r="AF33" i="40"/>
  <c r="AD33" i="40"/>
  <c r="Y33" i="40"/>
  <c r="X33" i="40"/>
  <c r="W33" i="40"/>
  <c r="U33" i="40"/>
  <c r="T33" i="40"/>
  <c r="S33" i="40"/>
  <c r="R33" i="40"/>
  <c r="Q33" i="40"/>
  <c r="AR32" i="40"/>
  <c r="AL32" i="40"/>
  <c r="Z32" i="40"/>
  <c r="P32" i="40"/>
  <c r="AR31" i="40"/>
  <c r="AL31" i="40"/>
  <c r="Z31" i="40"/>
  <c r="P31" i="40"/>
  <c r="AR30" i="40"/>
  <c r="AL30" i="40"/>
  <c r="Z30" i="40"/>
  <c r="P30" i="40"/>
  <c r="AR29" i="40"/>
  <c r="AL29" i="40"/>
  <c r="Z29" i="40"/>
  <c r="P29" i="40"/>
  <c r="AK28" i="40"/>
  <c r="AJ28" i="40"/>
  <c r="AI28" i="40"/>
  <c r="AH28" i="40"/>
  <c r="AF28" i="40"/>
  <c r="AD28" i="40"/>
  <c r="Y28" i="40"/>
  <c r="X28" i="40"/>
  <c r="W28" i="40"/>
  <c r="U28" i="40"/>
  <c r="T28" i="40"/>
  <c r="S28" i="40"/>
  <c r="R28" i="40"/>
  <c r="AR27" i="40"/>
  <c r="AL27" i="40"/>
  <c r="Z27" i="40"/>
  <c r="P27" i="40"/>
  <c r="AR26" i="40"/>
  <c r="AL26" i="40"/>
  <c r="Z26" i="40"/>
  <c r="P26" i="40"/>
  <c r="P138" i="40" s="1"/>
  <c r="AR25" i="40"/>
  <c r="Z25" i="40"/>
  <c r="P25" i="40"/>
  <c r="AR24" i="40"/>
  <c r="AL24" i="40"/>
  <c r="Z24" i="40"/>
  <c r="P24" i="40"/>
  <c r="AR23" i="40"/>
  <c r="AL23" i="40"/>
  <c r="Z23" i="40"/>
  <c r="P23" i="40"/>
  <c r="AK22" i="40"/>
  <c r="AJ22" i="40"/>
  <c r="AI22" i="40"/>
  <c r="AH22" i="40"/>
  <c r="AG22" i="40"/>
  <c r="AF22" i="40"/>
  <c r="AD22" i="40"/>
  <c r="Y22" i="40"/>
  <c r="X22" i="40"/>
  <c r="W22" i="40"/>
  <c r="U22" i="40"/>
  <c r="T22" i="40"/>
  <c r="S22" i="40"/>
  <c r="R22" i="40"/>
  <c r="Q22" i="40"/>
  <c r="AR21" i="40"/>
  <c r="AL21" i="40"/>
  <c r="Z21" i="40"/>
  <c r="P21" i="40"/>
  <c r="AK20" i="40"/>
  <c r="AJ20" i="40"/>
  <c r="AI20" i="40"/>
  <c r="AH20" i="40"/>
  <c r="AG20" i="40"/>
  <c r="AD20" i="40"/>
  <c r="Y20" i="40"/>
  <c r="X20" i="40"/>
  <c r="W20" i="40"/>
  <c r="U20" i="40"/>
  <c r="T20" i="40"/>
  <c r="S20" i="40"/>
  <c r="R20" i="40"/>
  <c r="Q20" i="40"/>
  <c r="AR19" i="40"/>
  <c r="AL19" i="40"/>
  <c r="Z19" i="40"/>
  <c r="P19" i="40"/>
  <c r="AR18" i="40"/>
  <c r="AL18" i="40"/>
  <c r="Z18" i="40"/>
  <c r="P18" i="40"/>
  <c r="AK17" i="40"/>
  <c r="AJ17" i="40"/>
  <c r="AI17" i="40"/>
  <c r="AH17" i="40"/>
  <c r="AG17" i="40"/>
  <c r="AD17" i="40"/>
  <c r="Y17" i="40"/>
  <c r="X17" i="40"/>
  <c r="W17" i="40"/>
  <c r="U17" i="40"/>
  <c r="T17" i="40"/>
  <c r="S17" i="40"/>
  <c r="R17" i="40"/>
  <c r="Q17" i="40"/>
  <c r="AR16" i="40"/>
  <c r="AL16" i="40"/>
  <c r="Z16" i="40"/>
  <c r="P16" i="40"/>
  <c r="AR15" i="40"/>
  <c r="AL15" i="40"/>
  <c r="Z15" i="40"/>
  <c r="P15" i="40"/>
  <c r="AK14" i="40"/>
  <c r="AJ14" i="40"/>
  <c r="AI14" i="40"/>
  <c r="AH14" i="40"/>
  <c r="AG14" i="40"/>
  <c r="AD14" i="40"/>
  <c r="Y14" i="40"/>
  <c r="X14" i="40"/>
  <c r="W14" i="40"/>
  <c r="U14" i="40"/>
  <c r="T14" i="40"/>
  <c r="S14" i="40"/>
  <c r="R14" i="40"/>
  <c r="Q14" i="40"/>
  <c r="AR13" i="40"/>
  <c r="AL13" i="40"/>
  <c r="Z13" i="40"/>
  <c r="AO13" i="40" s="1"/>
  <c r="P13" i="40"/>
  <c r="AR12" i="40"/>
  <c r="AL12" i="40"/>
  <c r="Z12" i="40"/>
  <c r="Z14" i="40" s="1"/>
  <c r="P12" i="40"/>
  <c r="P14" i="40" s="1"/>
  <c r="AK110" i="39"/>
  <c r="AJ110" i="39"/>
  <c r="AI110" i="39"/>
  <c r="AH110" i="39"/>
  <c r="AG110" i="39"/>
  <c r="AF110" i="39"/>
  <c r="AD110" i="39"/>
  <c r="Y110" i="39"/>
  <c r="X110" i="39"/>
  <c r="W110" i="39"/>
  <c r="U110" i="39"/>
  <c r="T110" i="39"/>
  <c r="S110" i="39"/>
  <c r="R110" i="39"/>
  <c r="Q110" i="39"/>
  <c r="O110" i="39"/>
  <c r="N110" i="39"/>
  <c r="M110" i="39"/>
  <c r="L110" i="39"/>
  <c r="K110" i="39"/>
  <c r="J110" i="39"/>
  <c r="I110" i="39"/>
  <c r="AK109" i="39"/>
  <c r="AJ109" i="39"/>
  <c r="AI109" i="39"/>
  <c r="AH109" i="39"/>
  <c r="AG109" i="39"/>
  <c r="AF109" i="39"/>
  <c r="AD109" i="39"/>
  <c r="Y109" i="39"/>
  <c r="X109" i="39"/>
  <c r="W109" i="39"/>
  <c r="U109" i="39"/>
  <c r="T109" i="39"/>
  <c r="S109" i="39"/>
  <c r="R109" i="39"/>
  <c r="Q109" i="39"/>
  <c r="O109" i="39"/>
  <c r="N109" i="39"/>
  <c r="M109" i="39"/>
  <c r="L109" i="39"/>
  <c r="K109" i="39"/>
  <c r="J109" i="39"/>
  <c r="I109" i="39"/>
  <c r="AK108" i="39"/>
  <c r="AJ108" i="39"/>
  <c r="AI108" i="39"/>
  <c r="AH108" i="39"/>
  <c r="AG108" i="39"/>
  <c r="AF108" i="39"/>
  <c r="AD108" i="39"/>
  <c r="Y108" i="39"/>
  <c r="X108" i="39"/>
  <c r="W108" i="39"/>
  <c r="U108" i="39"/>
  <c r="T108" i="39"/>
  <c r="S108" i="39"/>
  <c r="R108" i="39"/>
  <c r="Q108" i="39"/>
  <c r="O108" i="39"/>
  <c r="N108" i="39"/>
  <c r="M108" i="39"/>
  <c r="L108" i="39"/>
  <c r="K108" i="39"/>
  <c r="J108" i="39"/>
  <c r="I108" i="39"/>
  <c r="AS107" i="39"/>
  <c r="AR107" i="39"/>
  <c r="AQ107" i="39"/>
  <c r="AP107" i="39"/>
  <c r="AO107" i="39"/>
  <c r="AN107" i="39"/>
  <c r="AM107" i="39"/>
  <c r="AL107" i="39"/>
  <c r="AK107" i="39"/>
  <c r="AJ107" i="39"/>
  <c r="AI107" i="39"/>
  <c r="AH107" i="39"/>
  <c r="AG107" i="39"/>
  <c r="AF107" i="39"/>
  <c r="AE107" i="39"/>
  <c r="AD107" i="39"/>
  <c r="AC107" i="39"/>
  <c r="AB107" i="39"/>
  <c r="AA107" i="39"/>
  <c r="Z107" i="39"/>
  <c r="Y107" i="39"/>
  <c r="X107" i="39"/>
  <c r="W107" i="39"/>
  <c r="V107" i="39"/>
  <c r="U107" i="39"/>
  <c r="T107" i="39"/>
  <c r="S107" i="39"/>
  <c r="R107" i="39"/>
  <c r="Q107" i="39"/>
  <c r="P107" i="39"/>
  <c r="O107" i="39"/>
  <c r="N107" i="39"/>
  <c r="M107" i="39"/>
  <c r="L107" i="39"/>
  <c r="K107" i="39"/>
  <c r="J107" i="39"/>
  <c r="I107" i="39"/>
  <c r="AS106" i="39"/>
  <c r="AR106" i="39"/>
  <c r="AQ106" i="39"/>
  <c r="AP106" i="39"/>
  <c r="AO106" i="39"/>
  <c r="AN106" i="39"/>
  <c r="AM106" i="39"/>
  <c r="AL106" i="39"/>
  <c r="AK106" i="39"/>
  <c r="AJ106" i="39"/>
  <c r="AI106" i="39"/>
  <c r="AH106" i="39"/>
  <c r="AG106" i="39"/>
  <c r="AF106" i="39"/>
  <c r="AE106" i="39"/>
  <c r="AD106" i="39"/>
  <c r="AC106" i="39"/>
  <c r="AB106" i="39"/>
  <c r="AA106" i="39"/>
  <c r="Z106" i="39"/>
  <c r="Y106" i="39"/>
  <c r="X106" i="39"/>
  <c r="W106" i="39"/>
  <c r="V106" i="39"/>
  <c r="U106" i="39"/>
  <c r="T106" i="39"/>
  <c r="S106" i="39"/>
  <c r="R106" i="39"/>
  <c r="Q106" i="39"/>
  <c r="P106" i="39"/>
  <c r="O106" i="39"/>
  <c r="N106" i="39"/>
  <c r="M106" i="39"/>
  <c r="L106" i="39"/>
  <c r="K106" i="39"/>
  <c r="J106" i="39"/>
  <c r="I106" i="39"/>
  <c r="AS105" i="39"/>
  <c r="AR105" i="39"/>
  <c r="AQ105" i="39"/>
  <c r="AP105" i="39"/>
  <c r="AO105" i="39"/>
  <c r="AN105" i="39"/>
  <c r="AM105" i="39"/>
  <c r="AL105" i="39"/>
  <c r="AK105" i="39"/>
  <c r="AJ105" i="39"/>
  <c r="AI105" i="39"/>
  <c r="AH105" i="39"/>
  <c r="AG105" i="39"/>
  <c r="AF105" i="39"/>
  <c r="AE105" i="39"/>
  <c r="AD105" i="39"/>
  <c r="AC105" i="39"/>
  <c r="AB105" i="39"/>
  <c r="AA105" i="39"/>
  <c r="Z105" i="39"/>
  <c r="Y105" i="39"/>
  <c r="X105" i="39"/>
  <c r="W105" i="39"/>
  <c r="V105" i="39"/>
  <c r="U105" i="39"/>
  <c r="T105" i="39"/>
  <c r="S105" i="39"/>
  <c r="R105" i="39"/>
  <c r="Q105" i="39"/>
  <c r="P105" i="39"/>
  <c r="O105" i="39"/>
  <c r="N105" i="39"/>
  <c r="M105" i="39"/>
  <c r="L105" i="39"/>
  <c r="K105" i="39"/>
  <c r="J105" i="39"/>
  <c r="I105" i="39"/>
  <c r="AK104" i="39"/>
  <c r="AJ104" i="39"/>
  <c r="AI104" i="39"/>
  <c r="AH104" i="39"/>
  <c r="AG104" i="39"/>
  <c r="AF104" i="39"/>
  <c r="AD104" i="39"/>
  <c r="Y104" i="39"/>
  <c r="X104" i="39"/>
  <c r="W104" i="39"/>
  <c r="U104" i="39"/>
  <c r="T104" i="39"/>
  <c r="S104" i="39"/>
  <c r="R104" i="39"/>
  <c r="Q104" i="39"/>
  <c r="O104" i="39"/>
  <c r="N104" i="39"/>
  <c r="M104" i="39"/>
  <c r="L104" i="39"/>
  <c r="K104" i="39"/>
  <c r="J104" i="39"/>
  <c r="I104" i="39"/>
  <c r="AL103" i="39"/>
  <c r="AK103" i="39"/>
  <c r="AJ103" i="39"/>
  <c r="AI103" i="39"/>
  <c r="AH103" i="39"/>
  <c r="AG103" i="39"/>
  <c r="AF103" i="39"/>
  <c r="AD103" i="39"/>
  <c r="Y103" i="39"/>
  <c r="X103" i="39"/>
  <c r="W103" i="39"/>
  <c r="U103" i="39"/>
  <c r="T103" i="39"/>
  <c r="S103" i="39"/>
  <c r="R103" i="39"/>
  <c r="Q103" i="39"/>
  <c r="O103" i="39"/>
  <c r="N103" i="39"/>
  <c r="M103" i="39"/>
  <c r="L103" i="39"/>
  <c r="K103" i="39"/>
  <c r="J103" i="39"/>
  <c r="I103" i="39"/>
  <c r="AK102" i="39"/>
  <c r="AJ102" i="39"/>
  <c r="AI102" i="39"/>
  <c r="AH102" i="39"/>
  <c r="AG102" i="39"/>
  <c r="AF102" i="39"/>
  <c r="AD102" i="39"/>
  <c r="Y102" i="39"/>
  <c r="X102" i="39"/>
  <c r="W102" i="39"/>
  <c r="U102" i="39"/>
  <c r="T102" i="39"/>
  <c r="S102" i="39"/>
  <c r="R102" i="39"/>
  <c r="Q102" i="39"/>
  <c r="O102" i="39"/>
  <c r="N102" i="39"/>
  <c r="M102" i="39"/>
  <c r="L102" i="39"/>
  <c r="K102" i="39"/>
  <c r="J102" i="39"/>
  <c r="I102" i="39"/>
  <c r="AK101" i="39"/>
  <c r="AJ101" i="39"/>
  <c r="AI101" i="39"/>
  <c r="AH101" i="39"/>
  <c r="AG101" i="39"/>
  <c r="AF101" i="39"/>
  <c r="AF100" i="39" s="1"/>
  <c r="AD101" i="39"/>
  <c r="Y101" i="39"/>
  <c r="X101" i="39"/>
  <c r="W101" i="39"/>
  <c r="U101" i="39"/>
  <c r="T101" i="39"/>
  <c r="S101" i="39"/>
  <c r="R101" i="39"/>
  <c r="Q101" i="39"/>
  <c r="O101" i="39"/>
  <c r="N101" i="39"/>
  <c r="N100" i="39" s="1"/>
  <c r="M101" i="39"/>
  <c r="L101" i="39"/>
  <c r="K101" i="39"/>
  <c r="J101" i="39"/>
  <c r="I101" i="39"/>
  <c r="I100" i="39" s="1"/>
  <c r="O97" i="39"/>
  <c r="H19" i="47" s="1"/>
  <c r="N97" i="39"/>
  <c r="G19" i="47" s="1"/>
  <c r="M97" i="39"/>
  <c r="F19" i="47" s="1"/>
  <c r="L97" i="39"/>
  <c r="E19" i="47" s="1"/>
  <c r="K97" i="39"/>
  <c r="D19" i="47" s="1"/>
  <c r="J97" i="39"/>
  <c r="C19" i="47" s="1"/>
  <c r="I97" i="39"/>
  <c r="B19" i="47" s="1"/>
  <c r="AK96" i="39"/>
  <c r="AJ96" i="39"/>
  <c r="AI96" i="39"/>
  <c r="AH96" i="39"/>
  <c r="AG96" i="39"/>
  <c r="AD96" i="39"/>
  <c r="Y96" i="39"/>
  <c r="X96" i="39"/>
  <c r="W96" i="39"/>
  <c r="U96" i="39"/>
  <c r="T96" i="39"/>
  <c r="S96" i="39"/>
  <c r="R96" i="39"/>
  <c r="Q96" i="39"/>
  <c r="AR95" i="39"/>
  <c r="AL95" i="39"/>
  <c r="Z95" i="39"/>
  <c r="P95" i="39"/>
  <c r="AR94" i="39"/>
  <c r="AL94" i="39"/>
  <c r="Z94" i="39"/>
  <c r="P94" i="39"/>
  <c r="AR93" i="39"/>
  <c r="AL93" i="39"/>
  <c r="Z93" i="39"/>
  <c r="P93" i="39"/>
  <c r="AK92" i="39"/>
  <c r="AJ92" i="39"/>
  <c r="AI92" i="39"/>
  <c r="AH92" i="39"/>
  <c r="AG92" i="39"/>
  <c r="AD92" i="39"/>
  <c r="Y92" i="39"/>
  <c r="X92" i="39"/>
  <c r="W92" i="39"/>
  <c r="U92" i="39"/>
  <c r="T92" i="39"/>
  <c r="S92" i="39"/>
  <c r="R92" i="39"/>
  <c r="Q92" i="39"/>
  <c r="AR91" i="39"/>
  <c r="AL91" i="39"/>
  <c r="Z91" i="39"/>
  <c r="P91" i="39"/>
  <c r="AR90" i="39"/>
  <c r="AL90" i="39"/>
  <c r="Z90" i="39"/>
  <c r="P90" i="39"/>
  <c r="AK89" i="39"/>
  <c r="AJ89" i="39"/>
  <c r="AI89" i="39"/>
  <c r="AH89" i="39"/>
  <c r="AG89" i="39"/>
  <c r="AD89" i="39"/>
  <c r="Y89" i="39"/>
  <c r="X89" i="39"/>
  <c r="W89" i="39"/>
  <c r="U89" i="39"/>
  <c r="T89" i="39"/>
  <c r="S89" i="39"/>
  <c r="R89" i="39"/>
  <c r="Q89" i="39"/>
  <c r="AR88" i="39"/>
  <c r="AL88" i="39"/>
  <c r="Z88" i="39"/>
  <c r="P88" i="39"/>
  <c r="AR87" i="39"/>
  <c r="AL87" i="39"/>
  <c r="Z87" i="39"/>
  <c r="P87" i="39"/>
  <c r="AR86" i="39"/>
  <c r="AL86" i="39"/>
  <c r="Z86" i="39"/>
  <c r="P86" i="39"/>
  <c r="AR85" i="39"/>
  <c r="AL85" i="39"/>
  <c r="Z85" i="39"/>
  <c r="P85" i="39"/>
  <c r="AK84" i="39"/>
  <c r="AJ84" i="39"/>
  <c r="AI84" i="39"/>
  <c r="AH84" i="39"/>
  <c r="AG84" i="39"/>
  <c r="AD84" i="39"/>
  <c r="Y84" i="39"/>
  <c r="X84" i="39"/>
  <c r="W84" i="39"/>
  <c r="U84" i="39"/>
  <c r="T84" i="39"/>
  <c r="S84" i="39"/>
  <c r="R84" i="39"/>
  <c r="Q84" i="39"/>
  <c r="AR83" i="39"/>
  <c r="AL83" i="39"/>
  <c r="Z83" i="39"/>
  <c r="P83" i="39"/>
  <c r="AR82" i="39"/>
  <c r="AL82" i="39"/>
  <c r="Z82" i="39"/>
  <c r="P82" i="39"/>
  <c r="AR81" i="39"/>
  <c r="AL81" i="39"/>
  <c r="Z81" i="39"/>
  <c r="P81" i="39"/>
  <c r="AR80" i="39"/>
  <c r="AL80" i="39"/>
  <c r="Z80" i="39"/>
  <c r="P80" i="39"/>
  <c r="AK79" i="39"/>
  <c r="AJ79" i="39"/>
  <c r="AI79" i="39"/>
  <c r="AH79" i="39"/>
  <c r="AG79" i="39"/>
  <c r="AD79" i="39"/>
  <c r="Y79" i="39"/>
  <c r="X79" i="39"/>
  <c r="W79" i="39"/>
  <c r="U79" i="39"/>
  <c r="T79" i="39"/>
  <c r="S79" i="39"/>
  <c r="R79" i="39"/>
  <c r="Q79" i="39"/>
  <c r="AR78" i="39"/>
  <c r="AL78" i="39"/>
  <c r="Z78" i="39"/>
  <c r="P78" i="39"/>
  <c r="AR77" i="39"/>
  <c r="AL77" i="39"/>
  <c r="Z77" i="39"/>
  <c r="P77" i="39"/>
  <c r="AR76" i="39"/>
  <c r="AL76" i="39"/>
  <c r="Z76" i="39"/>
  <c r="P76" i="39"/>
  <c r="AR75" i="39"/>
  <c r="AL75" i="39"/>
  <c r="Z75" i="39"/>
  <c r="P75" i="39"/>
  <c r="AK74" i="39"/>
  <c r="AJ74" i="39"/>
  <c r="AI74" i="39"/>
  <c r="AH74" i="39"/>
  <c r="AG74" i="39"/>
  <c r="AD74" i="39"/>
  <c r="Y74" i="39"/>
  <c r="X74" i="39"/>
  <c r="W74" i="39"/>
  <c r="U74" i="39"/>
  <c r="T74" i="39"/>
  <c r="S74" i="39"/>
  <c r="R74" i="39"/>
  <c r="Q74" i="39"/>
  <c r="AR73" i="39"/>
  <c r="AL73" i="39"/>
  <c r="Z73" i="39"/>
  <c r="P73" i="39"/>
  <c r="AR72" i="39"/>
  <c r="AL72" i="39"/>
  <c r="Z72" i="39"/>
  <c r="P72" i="39"/>
  <c r="AR71" i="39"/>
  <c r="AL71" i="39"/>
  <c r="Z71" i="39"/>
  <c r="P71" i="39"/>
  <c r="V71" i="39" s="1"/>
  <c r="AR70" i="39"/>
  <c r="AL70" i="39"/>
  <c r="Z70" i="39"/>
  <c r="P70" i="39"/>
  <c r="AK69" i="39"/>
  <c r="AJ69" i="39"/>
  <c r="AI69" i="39"/>
  <c r="AH69" i="39"/>
  <c r="AG69" i="39"/>
  <c r="AD69" i="39"/>
  <c r="Y69" i="39"/>
  <c r="X69" i="39"/>
  <c r="W69" i="39"/>
  <c r="U69" i="39"/>
  <c r="T69" i="39"/>
  <c r="S69" i="39"/>
  <c r="R69" i="39"/>
  <c r="Q69" i="39"/>
  <c r="AR68" i="39"/>
  <c r="AL68" i="39"/>
  <c r="Z68" i="39"/>
  <c r="P68" i="39"/>
  <c r="AR67" i="39"/>
  <c r="AL67" i="39"/>
  <c r="Z67" i="39"/>
  <c r="P67" i="39"/>
  <c r="AR66" i="39"/>
  <c r="AL66" i="39"/>
  <c r="Z66" i="39"/>
  <c r="P66" i="39"/>
  <c r="AR65" i="39"/>
  <c r="AL65" i="39"/>
  <c r="Z65" i="39"/>
  <c r="P65" i="39"/>
  <c r="AK64" i="39"/>
  <c r="AJ64" i="39"/>
  <c r="AI64" i="39"/>
  <c r="AH64" i="39"/>
  <c r="AG64" i="39"/>
  <c r="AD64" i="39"/>
  <c r="Y64" i="39"/>
  <c r="X64" i="39"/>
  <c r="W64" i="39"/>
  <c r="U64" i="39"/>
  <c r="T64" i="39"/>
  <c r="S64" i="39"/>
  <c r="R64" i="39"/>
  <c r="Q64" i="39"/>
  <c r="AR63" i="39"/>
  <c r="AO63" i="39"/>
  <c r="AL63" i="39"/>
  <c r="Z63" i="39"/>
  <c r="P63" i="39"/>
  <c r="AR62" i="39"/>
  <c r="AL62" i="39"/>
  <c r="Z62" i="39"/>
  <c r="P62" i="39"/>
  <c r="AR61" i="39"/>
  <c r="AL61" i="39"/>
  <c r="Z61" i="39"/>
  <c r="P61" i="39"/>
  <c r="AR60" i="39"/>
  <c r="AL60" i="39"/>
  <c r="Z60" i="39"/>
  <c r="Z64" i="39" s="1"/>
  <c r="P60" i="39"/>
  <c r="P64" i="39" s="1"/>
  <c r="AK59" i="39"/>
  <c r="AJ59" i="39"/>
  <c r="AI59" i="39"/>
  <c r="AH59" i="39"/>
  <c r="AG59" i="39"/>
  <c r="AD59" i="39"/>
  <c r="Y59" i="39"/>
  <c r="X59" i="39"/>
  <c r="W59" i="39"/>
  <c r="U59" i="39"/>
  <c r="T59" i="39"/>
  <c r="S59" i="39"/>
  <c r="R59" i="39"/>
  <c r="Q59" i="39"/>
  <c r="AR58" i="39"/>
  <c r="AL58" i="39"/>
  <c r="Z58" i="39"/>
  <c r="P58" i="39"/>
  <c r="AR57" i="39"/>
  <c r="AL57" i="39"/>
  <c r="Z57" i="39"/>
  <c r="P57" i="39"/>
  <c r="AR56" i="39"/>
  <c r="AL56" i="39"/>
  <c r="Z56" i="39"/>
  <c r="P56" i="39"/>
  <c r="AR55" i="39"/>
  <c r="AL55" i="39"/>
  <c r="Z55" i="39"/>
  <c r="P55" i="39"/>
  <c r="AK54" i="39"/>
  <c r="AJ54" i="39"/>
  <c r="AI54" i="39"/>
  <c r="AH54" i="39"/>
  <c r="AG54" i="39"/>
  <c r="AF54" i="39"/>
  <c r="AD54" i="39"/>
  <c r="Y54" i="39"/>
  <c r="X54" i="39"/>
  <c r="W54" i="39"/>
  <c r="U54" i="39"/>
  <c r="T54" i="39"/>
  <c r="S54" i="39"/>
  <c r="R54" i="39"/>
  <c r="Q54" i="39"/>
  <c r="AR53" i="39"/>
  <c r="AL53" i="39"/>
  <c r="Z53" i="39"/>
  <c r="P53" i="39"/>
  <c r="AR52" i="39"/>
  <c r="AL52" i="39"/>
  <c r="Z52" i="39"/>
  <c r="P52" i="39"/>
  <c r="AR51" i="39"/>
  <c r="AL51" i="39"/>
  <c r="Z51" i="39"/>
  <c r="P51" i="39"/>
  <c r="AR50" i="39"/>
  <c r="AL50" i="39"/>
  <c r="Z50" i="39"/>
  <c r="P50" i="39"/>
  <c r="AK49" i="39"/>
  <c r="AJ49" i="39"/>
  <c r="AI49" i="39"/>
  <c r="AH49" i="39"/>
  <c r="AG49" i="39"/>
  <c r="AD49" i="39"/>
  <c r="Y49" i="39"/>
  <c r="X49" i="39"/>
  <c r="W49" i="39"/>
  <c r="U49" i="39"/>
  <c r="T49" i="39"/>
  <c r="S49" i="39"/>
  <c r="R49" i="39"/>
  <c r="Q49" i="39"/>
  <c r="AR48" i="39"/>
  <c r="AL48" i="39"/>
  <c r="Z48" i="39"/>
  <c r="P48" i="39"/>
  <c r="AK47" i="39"/>
  <c r="AJ47" i="39"/>
  <c r="AI47" i="39"/>
  <c r="AH47" i="39"/>
  <c r="AG47" i="39"/>
  <c r="AD47" i="39"/>
  <c r="Y47" i="39"/>
  <c r="X47" i="39"/>
  <c r="W47" i="39"/>
  <c r="U47" i="39"/>
  <c r="T47" i="39"/>
  <c r="S47" i="39"/>
  <c r="R47" i="39"/>
  <c r="AR46" i="39"/>
  <c r="AL46" i="39"/>
  <c r="Z46" i="39"/>
  <c r="P46" i="39"/>
  <c r="AR45" i="39"/>
  <c r="AL45" i="39"/>
  <c r="Z45" i="39"/>
  <c r="P45" i="39"/>
  <c r="AR44" i="39"/>
  <c r="AL44" i="39"/>
  <c r="Z44" i="39"/>
  <c r="P44" i="39"/>
  <c r="AR43" i="39"/>
  <c r="AL43" i="39"/>
  <c r="Z43" i="39"/>
  <c r="P43" i="39"/>
  <c r="AK42" i="39"/>
  <c r="AJ42" i="39"/>
  <c r="AI42" i="39"/>
  <c r="AH42" i="39"/>
  <c r="AG42" i="39"/>
  <c r="AD42" i="39"/>
  <c r="Y42" i="39"/>
  <c r="X42" i="39"/>
  <c r="W42" i="39"/>
  <c r="U42" i="39"/>
  <c r="T42" i="39"/>
  <c r="S42" i="39"/>
  <c r="R42" i="39"/>
  <c r="Q42" i="39"/>
  <c r="AR41" i="39"/>
  <c r="AL41" i="39"/>
  <c r="Z41" i="39"/>
  <c r="P41" i="39"/>
  <c r="AR40" i="39"/>
  <c r="AL40" i="39"/>
  <c r="Z40" i="39"/>
  <c r="P40" i="39"/>
  <c r="AK39" i="39"/>
  <c r="AJ39" i="39"/>
  <c r="AI39" i="39"/>
  <c r="AH39" i="39"/>
  <c r="AG39" i="39"/>
  <c r="AD39" i="39"/>
  <c r="Y39" i="39"/>
  <c r="X39" i="39"/>
  <c r="W39" i="39"/>
  <c r="U39" i="39"/>
  <c r="T39" i="39"/>
  <c r="S39" i="39"/>
  <c r="R39" i="39"/>
  <c r="Q39" i="39"/>
  <c r="AR38" i="39"/>
  <c r="AL38" i="39"/>
  <c r="Z38" i="39"/>
  <c r="P38" i="39"/>
  <c r="AK37" i="39"/>
  <c r="AJ37" i="39"/>
  <c r="AI37" i="39"/>
  <c r="AH37" i="39"/>
  <c r="AG37" i="39"/>
  <c r="AD37" i="39"/>
  <c r="Y37" i="39"/>
  <c r="X37" i="39"/>
  <c r="W37" i="39"/>
  <c r="U37" i="39"/>
  <c r="T37" i="39"/>
  <c r="S37" i="39"/>
  <c r="R37" i="39"/>
  <c r="Q37" i="39"/>
  <c r="AR36" i="39"/>
  <c r="AL36" i="39"/>
  <c r="Z36" i="39"/>
  <c r="P36" i="39"/>
  <c r="AK35" i="39"/>
  <c r="AJ35" i="39"/>
  <c r="AI35" i="39"/>
  <c r="AH35" i="39"/>
  <c r="AG35" i="39"/>
  <c r="AD35" i="39"/>
  <c r="Y35" i="39"/>
  <c r="X35" i="39"/>
  <c r="W35" i="39"/>
  <c r="U35" i="39"/>
  <c r="T35" i="39"/>
  <c r="S35" i="39"/>
  <c r="R35" i="39"/>
  <c r="Q35" i="39"/>
  <c r="AR34" i="39"/>
  <c r="AL34" i="39"/>
  <c r="Z34" i="39"/>
  <c r="P34" i="39"/>
  <c r="AR33" i="39"/>
  <c r="AL33" i="39"/>
  <c r="Z33" i="39"/>
  <c r="P33" i="39"/>
  <c r="AR32" i="39"/>
  <c r="AL32" i="39"/>
  <c r="Z32" i="39"/>
  <c r="Z103" i="39" s="1"/>
  <c r="P32" i="39"/>
  <c r="AR31" i="39"/>
  <c r="AR103" i="39" s="1"/>
  <c r="AL31" i="39"/>
  <c r="Z31" i="39"/>
  <c r="P31" i="39"/>
  <c r="AK30" i="39"/>
  <c r="AJ30" i="39"/>
  <c r="AI30" i="39"/>
  <c r="AH30" i="39"/>
  <c r="AG30" i="39"/>
  <c r="AF30" i="39"/>
  <c r="AD30" i="39"/>
  <c r="Y30" i="39"/>
  <c r="X30" i="39"/>
  <c r="W30" i="39"/>
  <c r="U30" i="39"/>
  <c r="T30" i="39"/>
  <c r="S30" i="39"/>
  <c r="R30" i="39"/>
  <c r="Q30" i="39"/>
  <c r="AR29" i="39"/>
  <c r="AL29" i="39"/>
  <c r="Z29" i="39"/>
  <c r="P29" i="39"/>
  <c r="AR28" i="39"/>
  <c r="AL28" i="39"/>
  <c r="Z28" i="39"/>
  <c r="P28" i="39"/>
  <c r="AR27" i="39"/>
  <c r="AL27" i="39"/>
  <c r="Z27" i="39"/>
  <c r="P27" i="39"/>
  <c r="AR26" i="39"/>
  <c r="AL26" i="39"/>
  <c r="Z26" i="39"/>
  <c r="P26" i="39"/>
  <c r="AK25" i="39"/>
  <c r="AJ25" i="39"/>
  <c r="AI25" i="39"/>
  <c r="AH25" i="39"/>
  <c r="AG25" i="39"/>
  <c r="AF25" i="39"/>
  <c r="AF97" i="39" s="1"/>
  <c r="Y19" i="47" s="1"/>
  <c r="AD25" i="39"/>
  <c r="Y25" i="39"/>
  <c r="X25" i="39"/>
  <c r="W25" i="39"/>
  <c r="U25" i="39"/>
  <c r="T25" i="39"/>
  <c r="S25" i="39"/>
  <c r="R25" i="39"/>
  <c r="Q25" i="39"/>
  <c r="AR24" i="39"/>
  <c r="AL24" i="39"/>
  <c r="Z24" i="39"/>
  <c r="P24" i="39"/>
  <c r="AR23" i="39"/>
  <c r="AL23" i="39"/>
  <c r="Z23" i="39"/>
  <c r="P23" i="39"/>
  <c r="AR22" i="39"/>
  <c r="AL22" i="39"/>
  <c r="Z22" i="39"/>
  <c r="P22" i="39"/>
  <c r="AK21" i="39"/>
  <c r="AJ21" i="39"/>
  <c r="AI21" i="39"/>
  <c r="AH21" i="39"/>
  <c r="AG21" i="39"/>
  <c r="AF21" i="39"/>
  <c r="AD21" i="39"/>
  <c r="Y21" i="39"/>
  <c r="X21" i="39"/>
  <c r="W21" i="39"/>
  <c r="U21" i="39"/>
  <c r="T21" i="39"/>
  <c r="S21" i="39"/>
  <c r="R21" i="39"/>
  <c r="Q21" i="39"/>
  <c r="AR20" i="39"/>
  <c r="AL20" i="39"/>
  <c r="Z20" i="39"/>
  <c r="P20" i="39"/>
  <c r="AR19" i="39"/>
  <c r="AL19" i="39"/>
  <c r="Z19" i="39"/>
  <c r="P19" i="39"/>
  <c r="AR18" i="39"/>
  <c r="AL18" i="39"/>
  <c r="Z18" i="39"/>
  <c r="P18" i="39"/>
  <c r="AK17" i="39"/>
  <c r="AJ17" i="39"/>
  <c r="AI17" i="39"/>
  <c r="AH17" i="39"/>
  <c r="AD17" i="39"/>
  <c r="Y17" i="39"/>
  <c r="X17" i="39"/>
  <c r="W17" i="39"/>
  <c r="U17" i="39"/>
  <c r="T17" i="39"/>
  <c r="S17" i="39"/>
  <c r="R17" i="39"/>
  <c r="AR16" i="39"/>
  <c r="Z16" i="39"/>
  <c r="P16" i="39"/>
  <c r="AR15" i="39"/>
  <c r="AL15" i="39"/>
  <c r="Z15" i="39"/>
  <c r="P15" i="39"/>
  <c r="AR14" i="39"/>
  <c r="AL14" i="39"/>
  <c r="Z14" i="39"/>
  <c r="P14" i="39"/>
  <c r="AK13" i="39"/>
  <c r="AJ13" i="39"/>
  <c r="AI13" i="39"/>
  <c r="AH13" i="39"/>
  <c r="AG13" i="39"/>
  <c r="AF13" i="39"/>
  <c r="AD13" i="39"/>
  <c r="Y13" i="39"/>
  <c r="X13" i="39"/>
  <c r="W13" i="39"/>
  <c r="U13" i="39"/>
  <c r="T13" i="39"/>
  <c r="S13" i="39"/>
  <c r="R13" i="39"/>
  <c r="Q13" i="39"/>
  <c r="AR12" i="39"/>
  <c r="AL12" i="39"/>
  <c r="Z12" i="39"/>
  <c r="P12" i="39"/>
  <c r="AR238" i="32"/>
  <c r="AK238" i="32"/>
  <c r="AJ238" i="32"/>
  <c r="AI238" i="32"/>
  <c r="AH238" i="32"/>
  <c r="AG238" i="32"/>
  <c r="AF238" i="32"/>
  <c r="AD238" i="32"/>
  <c r="Y238" i="32"/>
  <c r="X238" i="32"/>
  <c r="W238" i="32"/>
  <c r="U238" i="32"/>
  <c r="T238" i="32"/>
  <c r="S238" i="32"/>
  <c r="R238" i="32"/>
  <c r="Q238" i="32"/>
  <c r="O238" i="32"/>
  <c r="N238" i="32"/>
  <c r="M238" i="32"/>
  <c r="L238" i="32"/>
  <c r="K238" i="32"/>
  <c r="J238" i="32"/>
  <c r="I238" i="32"/>
  <c r="AR237" i="32"/>
  <c r="AK237" i="32"/>
  <c r="AJ237" i="32"/>
  <c r="AI237" i="32"/>
  <c r="AH237" i="32"/>
  <c r="AG237" i="32"/>
  <c r="AF237" i="32"/>
  <c r="AD237" i="32"/>
  <c r="Y237" i="32"/>
  <c r="X237" i="32"/>
  <c r="W237" i="32"/>
  <c r="U237" i="32"/>
  <c r="T237" i="32"/>
  <c r="S237" i="32"/>
  <c r="R237" i="32"/>
  <c r="Q237" i="32"/>
  <c r="O237" i="32"/>
  <c r="N237" i="32"/>
  <c r="M237" i="32"/>
  <c r="L237" i="32"/>
  <c r="K237" i="32"/>
  <c r="J237" i="32"/>
  <c r="I237" i="32"/>
  <c r="AR236" i="32"/>
  <c r="AK236" i="32"/>
  <c r="AJ236" i="32"/>
  <c r="AI236" i="32"/>
  <c r="AH236" i="32"/>
  <c r="AG236" i="32"/>
  <c r="AF236" i="32"/>
  <c r="AD236" i="32"/>
  <c r="Y236" i="32"/>
  <c r="X236" i="32"/>
  <c r="W236" i="32"/>
  <c r="U236" i="32"/>
  <c r="T236" i="32"/>
  <c r="S236" i="32"/>
  <c r="R236" i="32"/>
  <c r="Q236" i="32"/>
  <c r="O236" i="32"/>
  <c r="N236" i="32"/>
  <c r="M236" i="32"/>
  <c r="L236" i="32"/>
  <c r="K236" i="32"/>
  <c r="J236" i="32"/>
  <c r="I236" i="32"/>
  <c r="AS235" i="32"/>
  <c r="AR235" i="32"/>
  <c r="AQ235" i="32"/>
  <c r="AP235" i="32"/>
  <c r="AO235" i="32"/>
  <c r="AN235" i="32"/>
  <c r="AM235" i="32"/>
  <c r="AL235" i="32"/>
  <c r="AK235" i="32"/>
  <c r="AJ235" i="32"/>
  <c r="AI235" i="32"/>
  <c r="AH235" i="32"/>
  <c r="AG235" i="32"/>
  <c r="AF235" i="32"/>
  <c r="AE235" i="32"/>
  <c r="AD235" i="32"/>
  <c r="AC235" i="32"/>
  <c r="AB235" i="32"/>
  <c r="AA235" i="32"/>
  <c r="Z235" i="32"/>
  <c r="Y235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K235" i="32"/>
  <c r="J235" i="32"/>
  <c r="I235" i="32"/>
  <c r="AR234" i="32"/>
  <c r="AL234" i="32"/>
  <c r="AK234" i="32"/>
  <c r="AJ234" i="32"/>
  <c r="AI234" i="32"/>
  <c r="AH234" i="32"/>
  <c r="AG234" i="32"/>
  <c r="AF234" i="32"/>
  <c r="AD234" i="32"/>
  <c r="Z234" i="32"/>
  <c r="Y234" i="32"/>
  <c r="X234" i="32"/>
  <c r="W234" i="32"/>
  <c r="U234" i="32"/>
  <c r="T234" i="32"/>
  <c r="S234" i="32"/>
  <c r="R234" i="32"/>
  <c r="Q234" i="32"/>
  <c r="P234" i="32"/>
  <c r="O234" i="32"/>
  <c r="N234" i="32"/>
  <c r="M234" i="32"/>
  <c r="L234" i="32"/>
  <c r="K234" i="32"/>
  <c r="J234" i="32"/>
  <c r="I234" i="32"/>
  <c r="AS233" i="32"/>
  <c r="AR233" i="32"/>
  <c r="AQ233" i="32"/>
  <c r="AP233" i="32"/>
  <c r="AO233" i="32"/>
  <c r="AN233" i="32"/>
  <c r="AM233" i="32"/>
  <c r="AL233" i="32"/>
  <c r="AK233" i="32"/>
  <c r="AJ233" i="32"/>
  <c r="AI233" i="32"/>
  <c r="AH233" i="32"/>
  <c r="AG233" i="32"/>
  <c r="AF233" i="32"/>
  <c r="AE233" i="32"/>
  <c r="AD233" i="32"/>
  <c r="AC233" i="32"/>
  <c r="AB233" i="32"/>
  <c r="AA233" i="32"/>
  <c r="Z233" i="32"/>
  <c r="Y233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K233" i="32"/>
  <c r="J233" i="32"/>
  <c r="I233" i="32"/>
  <c r="AR232" i="32"/>
  <c r="AK232" i="32"/>
  <c r="AJ232" i="32"/>
  <c r="AI232" i="32"/>
  <c r="AH232" i="32"/>
  <c r="AG232" i="32"/>
  <c r="AF232" i="32"/>
  <c r="AD232" i="32"/>
  <c r="Y232" i="32"/>
  <c r="X232" i="32"/>
  <c r="W232" i="32"/>
  <c r="U232" i="32"/>
  <c r="T232" i="32"/>
  <c r="S232" i="32"/>
  <c r="R232" i="32"/>
  <c r="Q232" i="32"/>
  <c r="O232" i="32"/>
  <c r="N232" i="32"/>
  <c r="M232" i="32"/>
  <c r="L232" i="32"/>
  <c r="K232" i="32"/>
  <c r="J232" i="32"/>
  <c r="I232" i="32"/>
  <c r="AR231" i="32"/>
  <c r="AL231" i="32"/>
  <c r="AK231" i="32"/>
  <c r="AJ231" i="32"/>
  <c r="AI231" i="32"/>
  <c r="AH231" i="32"/>
  <c r="AG231" i="32"/>
  <c r="AF231" i="32"/>
  <c r="AD231" i="32"/>
  <c r="Z231" i="32"/>
  <c r="Y231" i="32"/>
  <c r="X231" i="32"/>
  <c r="W231" i="32"/>
  <c r="U231" i="32"/>
  <c r="T231" i="32"/>
  <c r="S231" i="32"/>
  <c r="R231" i="32"/>
  <c r="Q231" i="32"/>
  <c r="P231" i="32"/>
  <c r="O231" i="32"/>
  <c r="N231" i="32"/>
  <c r="M231" i="32"/>
  <c r="L231" i="32"/>
  <c r="K231" i="32"/>
  <c r="J231" i="32"/>
  <c r="I231" i="32"/>
  <c r="AR230" i="32"/>
  <c r="AK230" i="32"/>
  <c r="AJ230" i="32"/>
  <c r="AI230" i="32"/>
  <c r="AH230" i="32"/>
  <c r="AF230" i="32"/>
  <c r="AD230" i="32"/>
  <c r="Y230" i="32"/>
  <c r="X230" i="32"/>
  <c r="W230" i="32"/>
  <c r="U230" i="32"/>
  <c r="T230" i="32"/>
  <c r="S230" i="32"/>
  <c r="R230" i="32"/>
  <c r="O230" i="32"/>
  <c r="N230" i="32"/>
  <c r="M230" i="32"/>
  <c r="L230" i="32"/>
  <c r="K230" i="32"/>
  <c r="J230" i="32"/>
  <c r="I230" i="32"/>
  <c r="AR229" i="32"/>
  <c r="AK229" i="32"/>
  <c r="AJ229" i="32"/>
  <c r="AI229" i="32"/>
  <c r="AH229" i="32"/>
  <c r="AG229" i="32"/>
  <c r="AF229" i="32"/>
  <c r="AD229" i="32"/>
  <c r="Y229" i="32"/>
  <c r="X229" i="32"/>
  <c r="W229" i="32"/>
  <c r="U229" i="32"/>
  <c r="T229" i="32"/>
  <c r="S229" i="32"/>
  <c r="R229" i="32"/>
  <c r="Q229" i="32"/>
  <c r="O229" i="32"/>
  <c r="N229" i="32"/>
  <c r="M229" i="32"/>
  <c r="L229" i="32"/>
  <c r="K229" i="32"/>
  <c r="J229" i="32"/>
  <c r="I229" i="32"/>
  <c r="AR228" i="32"/>
  <c r="AK228" i="32"/>
  <c r="AJ228" i="32"/>
  <c r="AI228" i="32"/>
  <c r="AH228" i="32"/>
  <c r="AF228" i="32"/>
  <c r="AD228" i="32"/>
  <c r="Y228" i="32"/>
  <c r="X228" i="32"/>
  <c r="W228" i="32"/>
  <c r="U228" i="32"/>
  <c r="T228" i="32"/>
  <c r="S228" i="32"/>
  <c r="R228" i="32"/>
  <c r="O228" i="32"/>
  <c r="N228" i="32"/>
  <c r="M228" i="32"/>
  <c r="L228" i="32"/>
  <c r="K228" i="32"/>
  <c r="J228" i="32"/>
  <c r="I228" i="32"/>
  <c r="Z227" i="32"/>
  <c r="P227" i="32"/>
  <c r="I227" i="32"/>
  <c r="O225" i="32"/>
  <c r="N225" i="32"/>
  <c r="M225" i="32"/>
  <c r="L225" i="32"/>
  <c r="K225" i="32"/>
  <c r="J225" i="32"/>
  <c r="I225" i="32"/>
  <c r="AR224" i="32"/>
  <c r="AK224" i="32"/>
  <c r="AJ224" i="32"/>
  <c r="AI224" i="32"/>
  <c r="AH224" i="32"/>
  <c r="AG224" i="32"/>
  <c r="AF224" i="32"/>
  <c r="AD224" i="32"/>
  <c r="Y224" i="32"/>
  <c r="X224" i="32"/>
  <c r="W224" i="32"/>
  <c r="U224" i="32"/>
  <c r="T224" i="32"/>
  <c r="S224" i="32"/>
  <c r="R224" i="32"/>
  <c r="Q224" i="32"/>
  <c r="AL223" i="32"/>
  <c r="Z223" i="32"/>
  <c r="P223" i="32"/>
  <c r="AR222" i="32"/>
  <c r="AK222" i="32"/>
  <c r="AJ222" i="32"/>
  <c r="AI222" i="32"/>
  <c r="AH222" i="32"/>
  <c r="AG222" i="32"/>
  <c r="AF222" i="32"/>
  <c r="AD222" i="32"/>
  <c r="Y222" i="32"/>
  <c r="X222" i="32"/>
  <c r="W222" i="32"/>
  <c r="U222" i="32"/>
  <c r="T222" i="32"/>
  <c r="S222" i="32"/>
  <c r="R222" i="32"/>
  <c r="Q222" i="32"/>
  <c r="AL221" i="32"/>
  <c r="Z221" i="32"/>
  <c r="P221" i="32"/>
  <c r="AL220" i="32"/>
  <c r="Z220" i="32"/>
  <c r="P220" i="32"/>
  <c r="AL219" i="32"/>
  <c r="Z219" i="32"/>
  <c r="P219" i="32"/>
  <c r="AL218" i="32"/>
  <c r="Z218" i="32"/>
  <c r="P218" i="32"/>
  <c r="AR217" i="32"/>
  <c r="AK217" i="32"/>
  <c r="AJ217" i="32"/>
  <c r="AI217" i="32"/>
  <c r="AH217" i="32"/>
  <c r="AF217" i="32"/>
  <c r="AD217" i="32"/>
  <c r="Y217" i="32"/>
  <c r="X217" i="32"/>
  <c r="W217" i="32"/>
  <c r="U217" i="32"/>
  <c r="T217" i="32"/>
  <c r="S217" i="32"/>
  <c r="R217" i="32"/>
  <c r="AL216" i="32"/>
  <c r="Z216" i="32"/>
  <c r="P216" i="32"/>
  <c r="Z215" i="32"/>
  <c r="P215" i="32"/>
  <c r="AL214" i="32"/>
  <c r="Z214" i="32"/>
  <c r="P214" i="32"/>
  <c r="AL213" i="32"/>
  <c r="Z213" i="32"/>
  <c r="P213" i="32"/>
  <c r="AR212" i="32"/>
  <c r="AK212" i="32"/>
  <c r="AJ212" i="32"/>
  <c r="AI212" i="32"/>
  <c r="AH212" i="32"/>
  <c r="AG212" i="32"/>
  <c r="AF212" i="32"/>
  <c r="AD212" i="32"/>
  <c r="Y212" i="32"/>
  <c r="X212" i="32"/>
  <c r="W212" i="32"/>
  <c r="U212" i="32"/>
  <c r="T212" i="32"/>
  <c r="S212" i="32"/>
  <c r="R212" i="32"/>
  <c r="Q212" i="32"/>
  <c r="AL211" i="32"/>
  <c r="Z211" i="32"/>
  <c r="P211" i="32"/>
  <c r="AL210" i="32"/>
  <c r="Z210" i="32"/>
  <c r="P210" i="32"/>
  <c r="AL209" i="32"/>
  <c r="Z209" i="32"/>
  <c r="P209" i="32"/>
  <c r="AL208" i="32"/>
  <c r="Z208" i="32"/>
  <c r="P208" i="32"/>
  <c r="AR207" i="32"/>
  <c r="AK207" i="32"/>
  <c r="AJ207" i="32"/>
  <c r="AI207" i="32"/>
  <c r="AH207" i="32"/>
  <c r="AG207" i="32"/>
  <c r="AF207" i="32"/>
  <c r="AD207" i="32"/>
  <c r="Y207" i="32"/>
  <c r="X207" i="32"/>
  <c r="W207" i="32"/>
  <c r="U207" i="32"/>
  <c r="T207" i="32"/>
  <c r="S207" i="32"/>
  <c r="R207" i="32"/>
  <c r="Q207" i="32"/>
  <c r="AL206" i="32"/>
  <c r="Z206" i="32"/>
  <c r="P206" i="32"/>
  <c r="AL205" i="32"/>
  <c r="Z205" i="32"/>
  <c r="P205" i="32"/>
  <c r="AL204" i="32"/>
  <c r="Z204" i="32"/>
  <c r="P204" i="32"/>
  <c r="AL203" i="32"/>
  <c r="Z203" i="32"/>
  <c r="P203" i="32"/>
  <c r="AR202" i="32"/>
  <c r="AK202" i="32"/>
  <c r="AJ202" i="32"/>
  <c r="AI202" i="32"/>
  <c r="AH202" i="32"/>
  <c r="AG202" i="32"/>
  <c r="AF202" i="32"/>
  <c r="AD202" i="32"/>
  <c r="Y202" i="32"/>
  <c r="X202" i="32"/>
  <c r="W202" i="32"/>
  <c r="U202" i="32"/>
  <c r="T202" i="32"/>
  <c r="S202" i="32"/>
  <c r="R202" i="32"/>
  <c r="Q202" i="32"/>
  <c r="AL201" i="32"/>
  <c r="Z201" i="32"/>
  <c r="P201" i="32"/>
  <c r="AL200" i="32"/>
  <c r="Z200" i="32"/>
  <c r="V200" i="32"/>
  <c r="P200" i="32"/>
  <c r="AL199" i="32"/>
  <c r="Z199" i="32"/>
  <c r="P199" i="32"/>
  <c r="AL198" i="32"/>
  <c r="Z198" i="32"/>
  <c r="P198" i="32"/>
  <c r="AR197" i="32"/>
  <c r="AK197" i="32"/>
  <c r="AJ197" i="32"/>
  <c r="AI197" i="32"/>
  <c r="AH197" i="32"/>
  <c r="AG197" i="32"/>
  <c r="AF197" i="32"/>
  <c r="AD197" i="32"/>
  <c r="Y197" i="32"/>
  <c r="X197" i="32"/>
  <c r="W197" i="32"/>
  <c r="U197" i="32"/>
  <c r="T197" i="32"/>
  <c r="S197" i="32"/>
  <c r="R197" i="32"/>
  <c r="Q197" i="32"/>
  <c r="AL196" i="32"/>
  <c r="Z196" i="32"/>
  <c r="P196" i="32"/>
  <c r="AL195" i="32"/>
  <c r="Z195" i="32"/>
  <c r="P195" i="32"/>
  <c r="AL194" i="32"/>
  <c r="Z194" i="32"/>
  <c r="P194" i="32"/>
  <c r="AL193" i="32"/>
  <c r="Z193" i="32"/>
  <c r="P193" i="32"/>
  <c r="AR192" i="32"/>
  <c r="AK192" i="32"/>
  <c r="AJ192" i="32"/>
  <c r="AI192" i="32"/>
  <c r="AH192" i="32"/>
  <c r="AG192" i="32"/>
  <c r="AF192" i="32"/>
  <c r="AD192" i="32"/>
  <c r="Y192" i="32"/>
  <c r="X192" i="32"/>
  <c r="W192" i="32"/>
  <c r="U192" i="32"/>
  <c r="T192" i="32"/>
  <c r="S192" i="32"/>
  <c r="R192" i="32"/>
  <c r="Q192" i="32"/>
  <c r="AL191" i="32"/>
  <c r="Z191" i="32"/>
  <c r="P191" i="32"/>
  <c r="AL190" i="32"/>
  <c r="Z190" i="32"/>
  <c r="P190" i="32"/>
  <c r="AR189" i="32"/>
  <c r="AK189" i="32"/>
  <c r="AJ189" i="32"/>
  <c r="AI189" i="32"/>
  <c r="AH189" i="32"/>
  <c r="AG189" i="32"/>
  <c r="AF189" i="32"/>
  <c r="AD189" i="32"/>
  <c r="Y189" i="32"/>
  <c r="X189" i="32"/>
  <c r="W189" i="32"/>
  <c r="U189" i="32"/>
  <c r="T189" i="32"/>
  <c r="S189" i="32"/>
  <c r="R189" i="32"/>
  <c r="Q189" i="32"/>
  <c r="AL188" i="32"/>
  <c r="Z188" i="32"/>
  <c r="P188" i="32"/>
  <c r="AL187" i="32"/>
  <c r="Z187" i="32"/>
  <c r="P187" i="32"/>
  <c r="AL186" i="32"/>
  <c r="Z186" i="32"/>
  <c r="P186" i="32"/>
  <c r="AL185" i="32"/>
  <c r="Z185" i="32"/>
  <c r="P185" i="32"/>
  <c r="AR184" i="32"/>
  <c r="AL184" i="32"/>
  <c r="AK184" i="32"/>
  <c r="AJ184" i="32"/>
  <c r="AI184" i="32"/>
  <c r="AH184" i="32"/>
  <c r="AG184" i="32"/>
  <c r="AF184" i="32"/>
  <c r="AD184" i="32"/>
  <c r="Z184" i="32"/>
  <c r="Y184" i="32"/>
  <c r="X184" i="32"/>
  <c r="W184" i="32"/>
  <c r="U184" i="32"/>
  <c r="T184" i="32"/>
  <c r="S184" i="32"/>
  <c r="R184" i="32"/>
  <c r="Q184" i="32"/>
  <c r="AL183" i="32"/>
  <c r="Z183" i="32"/>
  <c r="P183" i="32"/>
  <c r="AL182" i="32"/>
  <c r="Z182" i="32"/>
  <c r="P182" i="32"/>
  <c r="AR181" i="32"/>
  <c r="AK181" i="32"/>
  <c r="AJ181" i="32"/>
  <c r="AI181" i="32"/>
  <c r="AH181" i="32"/>
  <c r="AG181" i="32"/>
  <c r="AF181" i="32"/>
  <c r="AD181" i="32"/>
  <c r="Y181" i="32"/>
  <c r="X181" i="32"/>
  <c r="W181" i="32"/>
  <c r="U181" i="32"/>
  <c r="T181" i="32"/>
  <c r="S181" i="32"/>
  <c r="R181" i="32"/>
  <c r="Q181" i="32"/>
  <c r="AL180" i="32"/>
  <c r="Z180" i="32"/>
  <c r="P180" i="32"/>
  <c r="AL179" i="32"/>
  <c r="Z179" i="32"/>
  <c r="P179" i="32"/>
  <c r="AL178" i="32"/>
  <c r="Z178" i="32"/>
  <c r="P178" i="32"/>
  <c r="AL177" i="32"/>
  <c r="Z177" i="32"/>
  <c r="P177" i="32"/>
  <c r="AR176" i="32"/>
  <c r="AK176" i="32"/>
  <c r="AJ176" i="32"/>
  <c r="AI176" i="32"/>
  <c r="AH176" i="32"/>
  <c r="AG176" i="32"/>
  <c r="AF176" i="32"/>
  <c r="AD176" i="32"/>
  <c r="Y176" i="32"/>
  <c r="X176" i="32"/>
  <c r="W176" i="32"/>
  <c r="U176" i="32"/>
  <c r="T176" i="32"/>
  <c r="S176" i="32"/>
  <c r="R176" i="32"/>
  <c r="Q176" i="32"/>
  <c r="AL175" i="32"/>
  <c r="Z175" i="32"/>
  <c r="P175" i="32"/>
  <c r="AL174" i="32"/>
  <c r="Z174" i="32"/>
  <c r="P174" i="32"/>
  <c r="AL173" i="32"/>
  <c r="Z173" i="32"/>
  <c r="P173" i="32"/>
  <c r="AL172" i="32"/>
  <c r="Z172" i="32"/>
  <c r="P172" i="32"/>
  <c r="AR171" i="32"/>
  <c r="AK171" i="32"/>
  <c r="AJ171" i="32"/>
  <c r="AI171" i="32"/>
  <c r="AH171" i="32"/>
  <c r="AG171" i="32"/>
  <c r="AF171" i="32"/>
  <c r="AD171" i="32"/>
  <c r="Y171" i="32"/>
  <c r="X171" i="32"/>
  <c r="W171" i="32"/>
  <c r="U171" i="32"/>
  <c r="T171" i="32"/>
  <c r="S171" i="32"/>
  <c r="R171" i="32"/>
  <c r="Q171" i="32"/>
  <c r="AL170" i="32"/>
  <c r="Z170" i="32"/>
  <c r="P170" i="32"/>
  <c r="AL169" i="32"/>
  <c r="Z169" i="32"/>
  <c r="P169" i="32"/>
  <c r="AR168" i="32"/>
  <c r="AK168" i="32"/>
  <c r="AJ168" i="32"/>
  <c r="AI168" i="32"/>
  <c r="AH168" i="32"/>
  <c r="AG168" i="32"/>
  <c r="AF168" i="32"/>
  <c r="AD168" i="32"/>
  <c r="Y168" i="32"/>
  <c r="X168" i="32"/>
  <c r="W168" i="32"/>
  <c r="U168" i="32"/>
  <c r="T168" i="32"/>
  <c r="S168" i="32"/>
  <c r="R168" i="32"/>
  <c r="Q168" i="32"/>
  <c r="AL167" i="32"/>
  <c r="Z167" i="32"/>
  <c r="P167" i="32"/>
  <c r="AR166" i="32"/>
  <c r="AK166" i="32"/>
  <c r="AJ166" i="32"/>
  <c r="AI166" i="32"/>
  <c r="AH166" i="32"/>
  <c r="AG166" i="32"/>
  <c r="AF166" i="32"/>
  <c r="AD166" i="32"/>
  <c r="Y166" i="32"/>
  <c r="X166" i="32"/>
  <c r="W166" i="32"/>
  <c r="U166" i="32"/>
  <c r="T166" i="32"/>
  <c r="S166" i="32"/>
  <c r="R166" i="32"/>
  <c r="Q166" i="32"/>
  <c r="AL165" i="32"/>
  <c r="Z165" i="32"/>
  <c r="P165" i="32"/>
  <c r="AL164" i="32"/>
  <c r="Z164" i="32"/>
  <c r="P164" i="32"/>
  <c r="AL163" i="32"/>
  <c r="Z163" i="32"/>
  <c r="P163" i="32"/>
  <c r="AL162" i="32"/>
  <c r="Z162" i="32"/>
  <c r="P162" i="32"/>
  <c r="AL161" i="32"/>
  <c r="Z161" i="32"/>
  <c r="P161" i="32"/>
  <c r="AL160" i="32"/>
  <c r="Z160" i="32"/>
  <c r="P160" i="32"/>
  <c r="AL159" i="32"/>
  <c r="Z159" i="32"/>
  <c r="P159" i="32"/>
  <c r="AR158" i="32"/>
  <c r="AK158" i="32"/>
  <c r="AJ158" i="32"/>
  <c r="AI158" i="32"/>
  <c r="AH158" i="32"/>
  <c r="AG158" i="32"/>
  <c r="AF158" i="32"/>
  <c r="AD158" i="32"/>
  <c r="Y158" i="32"/>
  <c r="X158" i="32"/>
  <c r="W158" i="32"/>
  <c r="U158" i="32"/>
  <c r="T158" i="32"/>
  <c r="S158" i="32"/>
  <c r="R158" i="32"/>
  <c r="Q158" i="32"/>
  <c r="AL157" i="32"/>
  <c r="Z157" i="32"/>
  <c r="P157" i="32"/>
  <c r="AL156" i="32"/>
  <c r="Z156" i="32"/>
  <c r="P156" i="32"/>
  <c r="AL155" i="32"/>
  <c r="Z155" i="32"/>
  <c r="P155" i="32"/>
  <c r="AR154" i="32"/>
  <c r="AK154" i="32"/>
  <c r="AJ154" i="32"/>
  <c r="AI154" i="32"/>
  <c r="AH154" i="32"/>
  <c r="AG154" i="32"/>
  <c r="AF154" i="32"/>
  <c r="AD154" i="32"/>
  <c r="Y154" i="32"/>
  <c r="X154" i="32"/>
  <c r="W154" i="32"/>
  <c r="U154" i="32"/>
  <c r="T154" i="32"/>
  <c r="S154" i="32"/>
  <c r="R154" i="32"/>
  <c r="Q154" i="32"/>
  <c r="AL153" i="32"/>
  <c r="Z153" i="32"/>
  <c r="P153" i="32"/>
  <c r="AL152" i="32"/>
  <c r="Z152" i="32"/>
  <c r="P152" i="32"/>
  <c r="AR151" i="32"/>
  <c r="AK151" i="32"/>
  <c r="AJ151" i="32"/>
  <c r="AI151" i="32"/>
  <c r="AH151" i="32"/>
  <c r="AG151" i="32"/>
  <c r="AF151" i="32"/>
  <c r="AD151" i="32"/>
  <c r="Y151" i="32"/>
  <c r="X151" i="32"/>
  <c r="W151" i="32"/>
  <c r="U151" i="32"/>
  <c r="T151" i="32"/>
  <c r="S151" i="32"/>
  <c r="R151" i="32"/>
  <c r="Q151" i="32"/>
  <c r="AL150" i="32"/>
  <c r="Z150" i="32"/>
  <c r="P150" i="32"/>
  <c r="AL149" i="32"/>
  <c r="Z149" i="32"/>
  <c r="P149" i="32"/>
  <c r="AL148" i="32"/>
  <c r="Z148" i="32"/>
  <c r="P148" i="32"/>
  <c r="AL147" i="32"/>
  <c r="Z147" i="32"/>
  <c r="P147" i="32"/>
  <c r="AR146" i="32"/>
  <c r="AK146" i="32"/>
  <c r="AJ146" i="32"/>
  <c r="AI146" i="32"/>
  <c r="AH146" i="32"/>
  <c r="AG146" i="32"/>
  <c r="AF146" i="32"/>
  <c r="AD146" i="32"/>
  <c r="Y146" i="32"/>
  <c r="X146" i="32"/>
  <c r="W146" i="32"/>
  <c r="U146" i="32"/>
  <c r="T146" i="32"/>
  <c r="S146" i="32"/>
  <c r="R146" i="32"/>
  <c r="Q146" i="32"/>
  <c r="AL145" i="32"/>
  <c r="Z145" i="32"/>
  <c r="P145" i="32"/>
  <c r="AL144" i="32"/>
  <c r="Z144" i="32"/>
  <c r="P144" i="32"/>
  <c r="AL143" i="32"/>
  <c r="Z143" i="32"/>
  <c r="P143" i="32"/>
  <c r="AR142" i="32"/>
  <c r="AK142" i="32"/>
  <c r="AJ142" i="32"/>
  <c r="AI142" i="32"/>
  <c r="AH142" i="32"/>
  <c r="AG142" i="32"/>
  <c r="AF142" i="32"/>
  <c r="AD142" i="32"/>
  <c r="Y142" i="32"/>
  <c r="X142" i="32"/>
  <c r="W142" i="32"/>
  <c r="U142" i="32"/>
  <c r="T142" i="32"/>
  <c r="S142" i="32"/>
  <c r="R142" i="32"/>
  <c r="Q142" i="32"/>
  <c r="AL141" i="32"/>
  <c r="Z141" i="32"/>
  <c r="P141" i="32"/>
  <c r="AL140" i="32"/>
  <c r="Z140" i="32"/>
  <c r="P140" i="32"/>
  <c r="AR139" i="32"/>
  <c r="AK139" i="32"/>
  <c r="AJ139" i="32"/>
  <c r="AI139" i="32"/>
  <c r="AH139" i="32"/>
  <c r="AG139" i="32"/>
  <c r="AF139" i="32"/>
  <c r="AD139" i="32"/>
  <c r="Y139" i="32"/>
  <c r="X139" i="32"/>
  <c r="W139" i="32"/>
  <c r="U139" i="32"/>
  <c r="T139" i="32"/>
  <c r="S139" i="32"/>
  <c r="R139" i="32"/>
  <c r="Q139" i="32"/>
  <c r="AL138" i="32"/>
  <c r="Z138" i="32"/>
  <c r="P138" i="32"/>
  <c r="AL137" i="32"/>
  <c r="Z137" i="32"/>
  <c r="P137" i="32"/>
  <c r="AL136" i="32"/>
  <c r="Z136" i="32"/>
  <c r="P136" i="32"/>
  <c r="AL135" i="32"/>
  <c r="Z135" i="32"/>
  <c r="P135" i="32"/>
  <c r="AR134" i="32"/>
  <c r="AK134" i="32"/>
  <c r="AJ134" i="32"/>
  <c r="AI134" i="32"/>
  <c r="AH134" i="32"/>
  <c r="AG134" i="32"/>
  <c r="AF134" i="32"/>
  <c r="AD134" i="32"/>
  <c r="Y134" i="32"/>
  <c r="X134" i="32"/>
  <c r="W134" i="32"/>
  <c r="U134" i="32"/>
  <c r="T134" i="32"/>
  <c r="S134" i="32"/>
  <c r="R134" i="32"/>
  <c r="Q134" i="32"/>
  <c r="AL133" i="32"/>
  <c r="Z133" i="32"/>
  <c r="P133" i="32"/>
  <c r="AL132" i="32"/>
  <c r="Z132" i="32"/>
  <c r="P132" i="32"/>
  <c r="AL131" i="32"/>
  <c r="Z131" i="32"/>
  <c r="P131" i="32"/>
  <c r="AL130" i="32"/>
  <c r="Z130" i="32"/>
  <c r="P130" i="32"/>
  <c r="AR129" i="32"/>
  <c r="AK129" i="32"/>
  <c r="AJ129" i="32"/>
  <c r="AI129" i="32"/>
  <c r="AH129" i="32"/>
  <c r="AG129" i="32"/>
  <c r="AF129" i="32"/>
  <c r="AD129" i="32"/>
  <c r="Y129" i="32"/>
  <c r="X129" i="32"/>
  <c r="W129" i="32"/>
  <c r="U129" i="32"/>
  <c r="T129" i="32"/>
  <c r="S129" i="32"/>
  <c r="R129" i="32"/>
  <c r="Q129" i="32"/>
  <c r="AL128" i="32"/>
  <c r="Z128" i="32"/>
  <c r="P128" i="32"/>
  <c r="AL127" i="32"/>
  <c r="Z127" i="32"/>
  <c r="P127" i="32"/>
  <c r="AL126" i="32"/>
  <c r="Z126" i="32"/>
  <c r="P126" i="32"/>
  <c r="AL125" i="32"/>
  <c r="Z125" i="32"/>
  <c r="P125" i="32"/>
  <c r="AR124" i="32"/>
  <c r="AK124" i="32"/>
  <c r="AJ124" i="32"/>
  <c r="AI124" i="32"/>
  <c r="AH124" i="32"/>
  <c r="AG124" i="32"/>
  <c r="AF124" i="32"/>
  <c r="AD124" i="32"/>
  <c r="Y124" i="32"/>
  <c r="X124" i="32"/>
  <c r="W124" i="32"/>
  <c r="U124" i="32"/>
  <c r="T124" i="32"/>
  <c r="S124" i="32"/>
  <c r="R124" i="32"/>
  <c r="Q124" i="32"/>
  <c r="AL123" i="32"/>
  <c r="Z123" i="32"/>
  <c r="P123" i="32"/>
  <c r="AL122" i="32"/>
  <c r="Z122" i="32"/>
  <c r="P122" i="32"/>
  <c r="AL121" i="32"/>
  <c r="Z121" i="32"/>
  <c r="P121" i="32"/>
  <c r="AL120" i="32"/>
  <c r="Z120" i="32"/>
  <c r="P120" i="32"/>
  <c r="AR119" i="32"/>
  <c r="AK119" i="32"/>
  <c r="AJ119" i="32"/>
  <c r="AI119" i="32"/>
  <c r="AH119" i="32"/>
  <c r="AG119" i="32"/>
  <c r="AF119" i="32"/>
  <c r="AD119" i="32"/>
  <c r="Y119" i="32"/>
  <c r="X119" i="32"/>
  <c r="W119" i="32"/>
  <c r="U119" i="32"/>
  <c r="T119" i="32"/>
  <c r="S119" i="32"/>
  <c r="R119" i="32"/>
  <c r="Q119" i="32"/>
  <c r="AL118" i="32"/>
  <c r="Z118" i="32"/>
  <c r="P118" i="32"/>
  <c r="AL117" i="32"/>
  <c r="Z117" i="32"/>
  <c r="P117" i="32"/>
  <c r="AR116" i="32"/>
  <c r="AK116" i="32"/>
  <c r="AJ116" i="32"/>
  <c r="AI116" i="32"/>
  <c r="AH116" i="32"/>
  <c r="AG116" i="32"/>
  <c r="AF116" i="32"/>
  <c r="AD116" i="32"/>
  <c r="Y116" i="32"/>
  <c r="X116" i="32"/>
  <c r="W116" i="32"/>
  <c r="U116" i="32"/>
  <c r="T116" i="32"/>
  <c r="S116" i="32"/>
  <c r="R116" i="32"/>
  <c r="Q116" i="32"/>
  <c r="AL115" i="32"/>
  <c r="Z115" i="32"/>
  <c r="P115" i="32"/>
  <c r="AR114" i="32"/>
  <c r="AK114" i="32"/>
  <c r="AJ114" i="32"/>
  <c r="AI114" i="32"/>
  <c r="AH114" i="32"/>
  <c r="AG114" i="32"/>
  <c r="AF114" i="32"/>
  <c r="AD114" i="32"/>
  <c r="Y114" i="32"/>
  <c r="X114" i="32"/>
  <c r="W114" i="32"/>
  <c r="U114" i="32"/>
  <c r="T114" i="32"/>
  <c r="S114" i="32"/>
  <c r="R114" i="32"/>
  <c r="Q114" i="32"/>
  <c r="AL113" i="32"/>
  <c r="Z113" i="32"/>
  <c r="P113" i="32"/>
  <c r="AL112" i="32"/>
  <c r="Z112" i="32"/>
  <c r="P112" i="32"/>
  <c r="AL111" i="32"/>
  <c r="Z111" i="32"/>
  <c r="P111" i="32"/>
  <c r="AL110" i="32"/>
  <c r="Z110" i="32"/>
  <c r="P110" i="32"/>
  <c r="AR109" i="32"/>
  <c r="AK109" i="32"/>
  <c r="AJ109" i="32"/>
  <c r="AI109" i="32"/>
  <c r="AH109" i="32"/>
  <c r="AG109" i="32"/>
  <c r="AF109" i="32"/>
  <c r="AD109" i="32"/>
  <c r="Y109" i="32"/>
  <c r="X109" i="32"/>
  <c r="W109" i="32"/>
  <c r="U109" i="32"/>
  <c r="T109" i="32"/>
  <c r="S109" i="32"/>
  <c r="R109" i="32"/>
  <c r="Q109" i="32"/>
  <c r="AL108" i="32"/>
  <c r="Z108" i="32"/>
  <c r="P108" i="32"/>
  <c r="AL107" i="32"/>
  <c r="Z107" i="32"/>
  <c r="P107" i="32"/>
  <c r="AL106" i="32"/>
  <c r="Z106" i="32"/>
  <c r="P106" i="32"/>
  <c r="AL105" i="32"/>
  <c r="Z105" i="32"/>
  <c r="P105" i="32"/>
  <c r="AR104" i="32"/>
  <c r="AK104" i="32"/>
  <c r="AJ104" i="32"/>
  <c r="AI104" i="32"/>
  <c r="AH104" i="32"/>
  <c r="AG104" i="32"/>
  <c r="AF104" i="32"/>
  <c r="AD104" i="32"/>
  <c r="Y104" i="32"/>
  <c r="X104" i="32"/>
  <c r="W104" i="32"/>
  <c r="U104" i="32"/>
  <c r="T104" i="32"/>
  <c r="S104" i="32"/>
  <c r="R104" i="32"/>
  <c r="Q104" i="32"/>
  <c r="AL103" i="32"/>
  <c r="Z103" i="32"/>
  <c r="P103" i="32"/>
  <c r="AL102" i="32"/>
  <c r="Z102" i="32"/>
  <c r="P102" i="32"/>
  <c r="AL101" i="32"/>
  <c r="Z101" i="32"/>
  <c r="P101" i="32"/>
  <c r="AR100" i="32"/>
  <c r="AK100" i="32"/>
  <c r="AJ100" i="32"/>
  <c r="AI100" i="32"/>
  <c r="AH100" i="32"/>
  <c r="AG100" i="32"/>
  <c r="AF100" i="32"/>
  <c r="AD100" i="32"/>
  <c r="Y100" i="32"/>
  <c r="X100" i="32"/>
  <c r="W100" i="32"/>
  <c r="U100" i="32"/>
  <c r="T100" i="32"/>
  <c r="S100" i="32"/>
  <c r="R100" i="32"/>
  <c r="Q100" i="32"/>
  <c r="AL99" i="32"/>
  <c r="Z99" i="32"/>
  <c r="P99" i="32"/>
  <c r="AL98" i="32"/>
  <c r="Z98" i="32"/>
  <c r="P98" i="32"/>
  <c r="AR97" i="32"/>
  <c r="AK97" i="32"/>
  <c r="AJ97" i="32"/>
  <c r="AI97" i="32"/>
  <c r="AH97" i="32"/>
  <c r="AG97" i="32"/>
  <c r="AF97" i="32"/>
  <c r="AD97" i="32"/>
  <c r="Y97" i="32"/>
  <c r="X97" i="32"/>
  <c r="W97" i="32"/>
  <c r="U97" i="32"/>
  <c r="T97" i="32"/>
  <c r="S97" i="32"/>
  <c r="R97" i="32"/>
  <c r="Q97" i="32"/>
  <c r="AL96" i="32"/>
  <c r="Z96" i="32"/>
  <c r="P96" i="32"/>
  <c r="AL95" i="32"/>
  <c r="Z95" i="32"/>
  <c r="P95" i="32"/>
  <c r="AL94" i="32"/>
  <c r="Z94" i="32"/>
  <c r="P94" i="32"/>
  <c r="AL93" i="32"/>
  <c r="Z93" i="32"/>
  <c r="P93" i="32"/>
  <c r="AR92" i="32"/>
  <c r="AK92" i="32"/>
  <c r="AJ92" i="32"/>
  <c r="AI92" i="32"/>
  <c r="AH92" i="32"/>
  <c r="AG92" i="32"/>
  <c r="AF92" i="32"/>
  <c r="AD92" i="32"/>
  <c r="Y92" i="32"/>
  <c r="X92" i="32"/>
  <c r="W92" i="32"/>
  <c r="U92" i="32"/>
  <c r="T92" i="32"/>
  <c r="S92" i="32"/>
  <c r="R92" i="32"/>
  <c r="Q92" i="32"/>
  <c r="AL91" i="32"/>
  <c r="Z91" i="32"/>
  <c r="P91" i="32"/>
  <c r="AL90" i="32"/>
  <c r="Z90" i="32"/>
  <c r="P90" i="32"/>
  <c r="AR89" i="32"/>
  <c r="AK89" i="32"/>
  <c r="AJ89" i="32"/>
  <c r="AI89" i="32"/>
  <c r="AH89" i="32"/>
  <c r="AG89" i="32"/>
  <c r="AF89" i="32"/>
  <c r="AD89" i="32"/>
  <c r="Y89" i="32"/>
  <c r="X89" i="32"/>
  <c r="W89" i="32"/>
  <c r="U89" i="32"/>
  <c r="T89" i="32"/>
  <c r="S89" i="32"/>
  <c r="R89" i="32"/>
  <c r="Q89" i="32"/>
  <c r="AL88" i="32"/>
  <c r="Z88" i="32"/>
  <c r="P88" i="32"/>
  <c r="AR87" i="32"/>
  <c r="AK87" i="32"/>
  <c r="AJ87" i="32"/>
  <c r="AI87" i="32"/>
  <c r="AH87" i="32"/>
  <c r="AG87" i="32"/>
  <c r="AF87" i="32"/>
  <c r="AD87" i="32"/>
  <c r="Y87" i="32"/>
  <c r="X87" i="32"/>
  <c r="W87" i="32"/>
  <c r="U87" i="32"/>
  <c r="T87" i="32"/>
  <c r="S87" i="32"/>
  <c r="R87" i="32"/>
  <c r="Q87" i="32"/>
  <c r="AL86" i="32"/>
  <c r="Z86" i="32"/>
  <c r="P86" i="32"/>
  <c r="AL85" i="32"/>
  <c r="Z85" i="32"/>
  <c r="P85" i="32"/>
  <c r="AL84" i="32"/>
  <c r="Z84" i="32"/>
  <c r="P84" i="32"/>
  <c r="AL83" i="32"/>
  <c r="Z83" i="32"/>
  <c r="P83" i="32"/>
  <c r="AL82" i="32"/>
  <c r="Z82" i="32"/>
  <c r="P82" i="32"/>
  <c r="AL81" i="32"/>
  <c r="Z81" i="32"/>
  <c r="P81" i="32"/>
  <c r="AL80" i="32"/>
  <c r="Z80" i="32"/>
  <c r="P80" i="32"/>
  <c r="AL79" i="32"/>
  <c r="Z79" i="32"/>
  <c r="P79" i="32"/>
  <c r="AL78" i="32"/>
  <c r="Z78" i="32"/>
  <c r="P78" i="32"/>
  <c r="AR77" i="32"/>
  <c r="AK77" i="32"/>
  <c r="AJ77" i="32"/>
  <c r="AI77" i="32"/>
  <c r="AH77" i="32"/>
  <c r="AF77" i="32"/>
  <c r="AD77" i="32"/>
  <c r="Y77" i="32"/>
  <c r="X77" i="32"/>
  <c r="W77" i="32"/>
  <c r="U77" i="32"/>
  <c r="T77" i="32"/>
  <c r="S77" i="32"/>
  <c r="R77" i="32"/>
  <c r="AL76" i="32"/>
  <c r="Z76" i="32"/>
  <c r="P76" i="32"/>
  <c r="Z75" i="32"/>
  <c r="P75" i="32"/>
  <c r="AL74" i="32"/>
  <c r="Z74" i="32"/>
  <c r="P74" i="32"/>
  <c r="AL73" i="32"/>
  <c r="Z73" i="32"/>
  <c r="P73" i="32"/>
  <c r="AR72" i="32"/>
  <c r="AK72" i="32"/>
  <c r="AJ72" i="32"/>
  <c r="AI72" i="32"/>
  <c r="AH72" i="32"/>
  <c r="AG72" i="32"/>
  <c r="AF72" i="32"/>
  <c r="AD72" i="32"/>
  <c r="Y72" i="32"/>
  <c r="X72" i="32"/>
  <c r="W72" i="32"/>
  <c r="U72" i="32"/>
  <c r="T72" i="32"/>
  <c r="S72" i="32"/>
  <c r="R72" i="32"/>
  <c r="Q72" i="32"/>
  <c r="AL71" i="32"/>
  <c r="Z71" i="32"/>
  <c r="P71" i="32"/>
  <c r="AL70" i="32"/>
  <c r="Z70" i="32"/>
  <c r="P70" i="32"/>
  <c r="AL69" i="32"/>
  <c r="Z69" i="32"/>
  <c r="P69" i="32"/>
  <c r="AR68" i="32"/>
  <c r="AK68" i="32"/>
  <c r="AJ68" i="32"/>
  <c r="AI68" i="32"/>
  <c r="AH68" i="32"/>
  <c r="AG68" i="32"/>
  <c r="AF68" i="32"/>
  <c r="AD68" i="32"/>
  <c r="Y68" i="32"/>
  <c r="X68" i="32"/>
  <c r="W68" i="32"/>
  <c r="U68" i="32"/>
  <c r="T68" i="32"/>
  <c r="S68" i="32"/>
  <c r="R68" i="32"/>
  <c r="Q68" i="32"/>
  <c r="AL67" i="32"/>
  <c r="Z67" i="32"/>
  <c r="P67" i="32"/>
  <c r="AL66" i="32"/>
  <c r="Z66" i="32"/>
  <c r="P66" i="32"/>
  <c r="AL65" i="32"/>
  <c r="Z65" i="32"/>
  <c r="P65" i="32"/>
  <c r="AL64" i="32"/>
  <c r="Z64" i="32"/>
  <c r="P64" i="32"/>
  <c r="AR63" i="32"/>
  <c r="AK63" i="32"/>
  <c r="AJ63" i="32"/>
  <c r="AI63" i="32"/>
  <c r="AH63" i="32"/>
  <c r="AF63" i="32"/>
  <c r="AD63" i="32"/>
  <c r="Y63" i="32"/>
  <c r="X63" i="32"/>
  <c r="W63" i="32"/>
  <c r="U63" i="32"/>
  <c r="T63" i="32"/>
  <c r="S63" i="32"/>
  <c r="R63" i="32"/>
  <c r="AL62" i="32"/>
  <c r="Z62" i="32"/>
  <c r="P62" i="32"/>
  <c r="Z61" i="32"/>
  <c r="P61" i="32"/>
  <c r="AL60" i="32"/>
  <c r="Z60" i="32"/>
  <c r="P60" i="32"/>
  <c r="AL59" i="32"/>
  <c r="Z59" i="32"/>
  <c r="P59" i="32"/>
  <c r="AR58" i="32"/>
  <c r="AK58" i="32"/>
  <c r="AJ58" i="32"/>
  <c r="AI58" i="32"/>
  <c r="AH58" i="32"/>
  <c r="AG58" i="32"/>
  <c r="AF58" i="32"/>
  <c r="AD58" i="32"/>
  <c r="Y58" i="32"/>
  <c r="X58" i="32"/>
  <c r="W58" i="32"/>
  <c r="U58" i="32"/>
  <c r="T58" i="32"/>
  <c r="S58" i="32"/>
  <c r="R58" i="32"/>
  <c r="Q58" i="32"/>
  <c r="AL57" i="32"/>
  <c r="Z57" i="32"/>
  <c r="P57" i="32"/>
  <c r="AL56" i="32"/>
  <c r="Z56" i="32"/>
  <c r="P56" i="32"/>
  <c r="AL55" i="32"/>
  <c r="Z55" i="32"/>
  <c r="P55" i="32"/>
  <c r="AL54" i="32"/>
  <c r="Z54" i="32"/>
  <c r="P54" i="32"/>
  <c r="AR53" i="32"/>
  <c r="AK53" i="32"/>
  <c r="AJ53" i="32"/>
  <c r="AI53" i="32"/>
  <c r="AH53" i="32"/>
  <c r="AG53" i="32"/>
  <c r="AF53" i="32"/>
  <c r="AD53" i="32"/>
  <c r="Y53" i="32"/>
  <c r="X53" i="32"/>
  <c r="W53" i="32"/>
  <c r="U53" i="32"/>
  <c r="T53" i="32"/>
  <c r="S53" i="32"/>
  <c r="R53" i="32"/>
  <c r="Q53" i="32"/>
  <c r="AL52" i="32"/>
  <c r="Z52" i="32"/>
  <c r="P52" i="32"/>
  <c r="AL51" i="32"/>
  <c r="Z51" i="32"/>
  <c r="P51" i="32"/>
  <c r="AL50" i="32"/>
  <c r="Z50" i="32"/>
  <c r="P50" i="32"/>
  <c r="AO49" i="32"/>
  <c r="AL49" i="32"/>
  <c r="Z49" i="32"/>
  <c r="P49" i="32"/>
  <c r="AL48" i="32"/>
  <c r="Z48" i="32"/>
  <c r="P48" i="32"/>
  <c r="AR47" i="32"/>
  <c r="AK47" i="32"/>
  <c r="AJ47" i="32"/>
  <c r="AI47" i="32"/>
  <c r="AH47" i="32"/>
  <c r="AF47" i="32"/>
  <c r="AD47" i="32"/>
  <c r="Y47" i="32"/>
  <c r="X47" i="32"/>
  <c r="W47" i="32"/>
  <c r="U47" i="32"/>
  <c r="T47" i="32"/>
  <c r="S47" i="32"/>
  <c r="R47" i="32"/>
  <c r="AL46" i="32"/>
  <c r="Z46" i="32"/>
  <c r="P46" i="32"/>
  <c r="AL45" i="32"/>
  <c r="Z45" i="32"/>
  <c r="P45" i="32"/>
  <c r="Z44" i="32"/>
  <c r="P44" i="32"/>
  <c r="AL43" i="32"/>
  <c r="Z43" i="32"/>
  <c r="P43" i="32"/>
  <c r="AL42" i="32"/>
  <c r="Z42" i="32"/>
  <c r="P42" i="32"/>
  <c r="AR41" i="32"/>
  <c r="AK41" i="32"/>
  <c r="AJ41" i="32"/>
  <c r="AI41" i="32"/>
  <c r="AH41" i="32"/>
  <c r="AG41" i="32"/>
  <c r="AF41" i="32"/>
  <c r="AD41" i="32"/>
  <c r="Y41" i="32"/>
  <c r="X41" i="32"/>
  <c r="W41" i="32"/>
  <c r="U41" i="32"/>
  <c r="T41" i="32"/>
  <c r="S41" i="32"/>
  <c r="R41" i="32"/>
  <c r="Q41" i="32"/>
  <c r="AL40" i="32"/>
  <c r="Z40" i="32"/>
  <c r="P40" i="32"/>
  <c r="AL39" i="32"/>
  <c r="Z39" i="32"/>
  <c r="P39" i="32"/>
  <c r="AL38" i="32"/>
  <c r="Z38" i="32"/>
  <c r="P38" i="32"/>
  <c r="AL37" i="32"/>
  <c r="Z37" i="32"/>
  <c r="P37" i="32"/>
  <c r="AR36" i="32"/>
  <c r="AK36" i="32"/>
  <c r="AJ36" i="32"/>
  <c r="AI36" i="32"/>
  <c r="AH36" i="32"/>
  <c r="AG36" i="32"/>
  <c r="AF36" i="32"/>
  <c r="AD36" i="32"/>
  <c r="Y36" i="32"/>
  <c r="X36" i="32"/>
  <c r="W36" i="32"/>
  <c r="U36" i="32"/>
  <c r="T36" i="32"/>
  <c r="S36" i="32"/>
  <c r="R36" i="32"/>
  <c r="Q36" i="32"/>
  <c r="AL35" i="32"/>
  <c r="Z35" i="32"/>
  <c r="P35" i="32"/>
  <c r="AL34" i="32"/>
  <c r="Z34" i="32"/>
  <c r="P34" i="32"/>
  <c r="AR33" i="32"/>
  <c r="AK33" i="32"/>
  <c r="AJ33" i="32"/>
  <c r="AI33" i="32"/>
  <c r="AH33" i="32"/>
  <c r="AG33" i="32"/>
  <c r="AF33" i="32"/>
  <c r="AD33" i="32"/>
  <c r="Y33" i="32"/>
  <c r="X33" i="32"/>
  <c r="W33" i="32"/>
  <c r="U33" i="32"/>
  <c r="T33" i="32"/>
  <c r="S33" i="32"/>
  <c r="R33" i="32"/>
  <c r="Q33" i="32"/>
  <c r="AL32" i="32"/>
  <c r="Z32" i="32"/>
  <c r="P32" i="32"/>
  <c r="AL31" i="32"/>
  <c r="Z31" i="32"/>
  <c r="P31" i="32"/>
  <c r="AR30" i="32"/>
  <c r="AK30" i="32"/>
  <c r="AJ30" i="32"/>
  <c r="AI30" i="32"/>
  <c r="AH30" i="32"/>
  <c r="AG30" i="32"/>
  <c r="AF30" i="32"/>
  <c r="AD30" i="32"/>
  <c r="Y30" i="32"/>
  <c r="X30" i="32"/>
  <c r="W30" i="32"/>
  <c r="U30" i="32"/>
  <c r="T30" i="32"/>
  <c r="S30" i="32"/>
  <c r="R30" i="32"/>
  <c r="Q30" i="32"/>
  <c r="AL29" i="32"/>
  <c r="Z29" i="32"/>
  <c r="P29" i="32"/>
  <c r="AL28" i="32"/>
  <c r="Z28" i="32"/>
  <c r="P28" i="32"/>
  <c r="AR27" i="32"/>
  <c r="AK27" i="32"/>
  <c r="AJ27" i="32"/>
  <c r="AI27" i="32"/>
  <c r="AH27" i="32"/>
  <c r="AG27" i="32"/>
  <c r="AF27" i="32"/>
  <c r="AD27" i="32"/>
  <c r="Y27" i="32"/>
  <c r="X27" i="32"/>
  <c r="W27" i="32"/>
  <c r="U27" i="32"/>
  <c r="T27" i="32"/>
  <c r="S27" i="32"/>
  <c r="R27" i="32"/>
  <c r="Q27" i="32"/>
  <c r="AL26" i="32"/>
  <c r="Z26" i="32"/>
  <c r="P26" i="32"/>
  <c r="AL25" i="32"/>
  <c r="Z25" i="32"/>
  <c r="P25" i="32"/>
  <c r="AR24" i="32"/>
  <c r="AK24" i="32"/>
  <c r="AJ24" i="32"/>
  <c r="AI24" i="32"/>
  <c r="AH24" i="32"/>
  <c r="AG24" i="32"/>
  <c r="AF24" i="32"/>
  <c r="AD24" i="32"/>
  <c r="Y24" i="32"/>
  <c r="X24" i="32"/>
  <c r="W24" i="32"/>
  <c r="U24" i="32"/>
  <c r="T24" i="32"/>
  <c r="S24" i="32"/>
  <c r="R24" i="32"/>
  <c r="Q24" i="32"/>
  <c r="AL23" i="32"/>
  <c r="Z23" i="32"/>
  <c r="P23" i="32"/>
  <c r="AL22" i="32"/>
  <c r="Z22" i="32"/>
  <c r="P22" i="32"/>
  <c r="AL21" i="32"/>
  <c r="Z21" i="32"/>
  <c r="P21" i="32"/>
  <c r="AR20" i="32"/>
  <c r="AK20" i="32"/>
  <c r="AJ20" i="32"/>
  <c r="AI20" i="32"/>
  <c r="AH20" i="32"/>
  <c r="AG20" i="32"/>
  <c r="AF20" i="32"/>
  <c r="AD20" i="32"/>
  <c r="Y20" i="32"/>
  <c r="X20" i="32"/>
  <c r="W20" i="32"/>
  <c r="U20" i="32"/>
  <c r="T20" i="32"/>
  <c r="S20" i="32"/>
  <c r="R20" i="32"/>
  <c r="Q20" i="32"/>
  <c r="AL19" i="32"/>
  <c r="Z19" i="32"/>
  <c r="P19" i="32"/>
  <c r="AL18" i="32"/>
  <c r="Z18" i="32"/>
  <c r="P18" i="32"/>
  <c r="AL17" i="32"/>
  <c r="Z17" i="32"/>
  <c r="P17" i="32"/>
  <c r="AR16" i="32"/>
  <c r="AK16" i="32"/>
  <c r="AJ16" i="32"/>
  <c r="AI16" i="32"/>
  <c r="AH16" i="32"/>
  <c r="AG16" i="32"/>
  <c r="AF16" i="32"/>
  <c r="AD16" i="32"/>
  <c r="Y16" i="32"/>
  <c r="X16" i="32"/>
  <c r="W16" i="32"/>
  <c r="U16" i="32"/>
  <c r="T16" i="32"/>
  <c r="S16" i="32"/>
  <c r="R16" i="32"/>
  <c r="Q16" i="32"/>
  <c r="AL15" i="32"/>
  <c r="Z15" i="32"/>
  <c r="P15" i="32"/>
  <c r="AL14" i="32"/>
  <c r="Z14" i="32"/>
  <c r="P14" i="32"/>
  <c r="AR13" i="32"/>
  <c r="AK13" i="32"/>
  <c r="AJ13" i="32"/>
  <c r="AI13" i="32"/>
  <c r="AH13" i="32"/>
  <c r="AG13" i="32"/>
  <c r="AF13" i="32"/>
  <c r="AD13" i="32"/>
  <c r="Y13" i="32"/>
  <c r="X13" i="32"/>
  <c r="W13" i="32"/>
  <c r="U13" i="32"/>
  <c r="T13" i="32"/>
  <c r="S13" i="32"/>
  <c r="R13" i="32"/>
  <c r="Q13" i="32"/>
  <c r="AL12" i="32"/>
  <c r="Z12" i="32"/>
  <c r="P12" i="32"/>
  <c r="AK71" i="31"/>
  <c r="AJ71" i="31"/>
  <c r="AI71" i="31"/>
  <c r="AH71" i="31"/>
  <c r="AG71" i="31"/>
  <c r="AF71" i="31"/>
  <c r="AD71" i="31"/>
  <c r="Y71" i="31"/>
  <c r="X71" i="31"/>
  <c r="W71" i="31"/>
  <c r="U71" i="31"/>
  <c r="T71" i="31"/>
  <c r="S71" i="31"/>
  <c r="R71" i="31"/>
  <c r="Q71" i="31"/>
  <c r="O71" i="31"/>
  <c r="N71" i="31"/>
  <c r="M71" i="31"/>
  <c r="L71" i="31"/>
  <c r="K71" i="31"/>
  <c r="J71" i="31"/>
  <c r="I71" i="31"/>
  <c r="AK70" i="31"/>
  <c r="AJ70" i="31"/>
  <c r="AI70" i="31"/>
  <c r="AH70" i="31"/>
  <c r="AG70" i="31"/>
  <c r="AF70" i="31"/>
  <c r="AD70" i="31"/>
  <c r="Y70" i="31"/>
  <c r="X70" i="31"/>
  <c r="W70" i="31"/>
  <c r="U70" i="31"/>
  <c r="T70" i="31"/>
  <c r="S70" i="31"/>
  <c r="R70" i="31"/>
  <c r="Q70" i="31"/>
  <c r="O70" i="31"/>
  <c r="N70" i="31"/>
  <c r="M70" i="31"/>
  <c r="L70" i="31"/>
  <c r="K70" i="31"/>
  <c r="J70" i="31"/>
  <c r="I70" i="31"/>
  <c r="AK69" i="31"/>
  <c r="AJ69" i="31"/>
  <c r="AI69" i="31"/>
  <c r="AH69" i="31"/>
  <c r="AG69" i="31"/>
  <c r="AF69" i="31"/>
  <c r="AD69" i="31"/>
  <c r="Y69" i="31"/>
  <c r="X69" i="31"/>
  <c r="W69" i="31"/>
  <c r="U69" i="31"/>
  <c r="T69" i="31"/>
  <c r="S69" i="31"/>
  <c r="R69" i="31"/>
  <c r="Q69" i="31"/>
  <c r="O69" i="31"/>
  <c r="N69" i="31"/>
  <c r="M69" i="31"/>
  <c r="L69" i="31"/>
  <c r="K69" i="31"/>
  <c r="J69" i="31"/>
  <c r="I69" i="31"/>
  <c r="AS68" i="31"/>
  <c r="AR68" i="31"/>
  <c r="AQ68" i="31"/>
  <c r="AP68" i="31"/>
  <c r="AO68" i="31"/>
  <c r="AN68" i="31"/>
  <c r="AM68" i="31"/>
  <c r="AL68" i="31"/>
  <c r="AK68" i="31"/>
  <c r="AJ68" i="31"/>
  <c r="AI68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AS67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AS66" i="31"/>
  <c r="AR66" i="31"/>
  <c r="AQ66" i="31"/>
  <c r="AP66" i="31"/>
  <c r="AO66" i="31"/>
  <c r="AN66" i="31"/>
  <c r="AM66" i="31"/>
  <c r="AL66" i="31"/>
  <c r="AK66" i="31"/>
  <c r="AJ66" i="31"/>
  <c r="AI66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AR65" i="31"/>
  <c r="AK65" i="31"/>
  <c r="AJ65" i="31"/>
  <c r="AI65" i="31"/>
  <c r="AH65" i="31"/>
  <c r="AG65" i="31"/>
  <c r="AF65" i="31"/>
  <c r="AD65" i="31"/>
  <c r="Z65" i="31"/>
  <c r="Y65" i="31"/>
  <c r="X65" i="31"/>
  <c r="W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AS64" i="31"/>
  <c r="AR64" i="31"/>
  <c r="AQ64" i="31"/>
  <c r="AP64" i="31"/>
  <c r="AO64" i="31"/>
  <c r="AN64" i="31"/>
  <c r="AM64" i="31"/>
  <c r="AL64" i="31"/>
  <c r="AK64" i="31"/>
  <c r="AJ64" i="31"/>
  <c r="AI64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AK63" i="31"/>
  <c r="AJ63" i="31"/>
  <c r="AI63" i="31"/>
  <c r="AH63" i="31"/>
  <c r="AG63" i="31"/>
  <c r="AF63" i="31"/>
  <c r="AD63" i="31"/>
  <c r="Y63" i="31"/>
  <c r="X63" i="31"/>
  <c r="W63" i="31"/>
  <c r="U63" i="31"/>
  <c r="T63" i="31"/>
  <c r="S63" i="31"/>
  <c r="R63" i="31"/>
  <c r="Q63" i="31"/>
  <c r="O63" i="31"/>
  <c r="N63" i="31"/>
  <c r="M63" i="31"/>
  <c r="L63" i="31"/>
  <c r="K63" i="31"/>
  <c r="J63" i="31"/>
  <c r="I63" i="31"/>
  <c r="AK62" i="31"/>
  <c r="AJ62" i="31"/>
  <c r="AI62" i="31"/>
  <c r="AH62" i="31"/>
  <c r="AG62" i="31"/>
  <c r="AG61" i="31" s="1"/>
  <c r="AL60" i="31" s="1"/>
  <c r="AF62" i="31"/>
  <c r="AD62" i="31"/>
  <c r="Y62" i="31"/>
  <c r="X62" i="31"/>
  <c r="W62" i="31"/>
  <c r="U62" i="31"/>
  <c r="T62" i="31"/>
  <c r="S62" i="31"/>
  <c r="R62" i="31"/>
  <c r="Q62" i="31"/>
  <c r="O62" i="31"/>
  <c r="N62" i="31"/>
  <c r="M62" i="31"/>
  <c r="L62" i="31"/>
  <c r="K62" i="31"/>
  <c r="J62" i="31"/>
  <c r="I62" i="31"/>
  <c r="AK61" i="31"/>
  <c r="AJ61" i="31"/>
  <c r="AI61" i="31"/>
  <c r="AH61" i="31"/>
  <c r="AF61" i="31"/>
  <c r="AD61" i="31"/>
  <c r="Y61" i="31"/>
  <c r="X61" i="31"/>
  <c r="W61" i="31"/>
  <c r="U61" i="31"/>
  <c r="T61" i="31"/>
  <c r="S61" i="31"/>
  <c r="O61" i="31"/>
  <c r="N61" i="31"/>
  <c r="M61" i="31"/>
  <c r="L61" i="31"/>
  <c r="K61" i="31"/>
  <c r="J61" i="31"/>
  <c r="I61" i="31"/>
  <c r="Z60" i="31"/>
  <c r="P60" i="31"/>
  <c r="I60" i="31"/>
  <c r="O58" i="31"/>
  <c r="N58" i="31"/>
  <c r="M58" i="31"/>
  <c r="L58" i="31"/>
  <c r="K58" i="31"/>
  <c r="J58" i="31"/>
  <c r="I58" i="31"/>
  <c r="AK57" i="31"/>
  <c r="AJ57" i="31"/>
  <c r="AI57" i="31"/>
  <c r="AH57" i="31"/>
  <c r="AG57" i="31"/>
  <c r="AF57" i="31"/>
  <c r="AD57" i="31"/>
  <c r="Y57" i="31"/>
  <c r="X57" i="31"/>
  <c r="W57" i="31"/>
  <c r="U57" i="31"/>
  <c r="T57" i="31"/>
  <c r="S57" i="31"/>
  <c r="R57" i="31"/>
  <c r="Q57" i="31"/>
  <c r="AR56" i="31"/>
  <c r="AL56" i="31"/>
  <c r="Z56" i="31"/>
  <c r="P56" i="31"/>
  <c r="AR55" i="31"/>
  <c r="AL55" i="31"/>
  <c r="Z55" i="31"/>
  <c r="P55" i="31"/>
  <c r="AR54" i="31"/>
  <c r="AL54" i="31"/>
  <c r="Z54" i="31"/>
  <c r="P54" i="31"/>
  <c r="AK53" i="31"/>
  <c r="AJ53" i="31"/>
  <c r="AI53" i="31"/>
  <c r="AH53" i="31"/>
  <c r="AG53" i="31"/>
  <c r="AF53" i="31"/>
  <c r="AD53" i="31"/>
  <c r="Y53" i="31"/>
  <c r="X53" i="31"/>
  <c r="W53" i="31"/>
  <c r="U53" i="31"/>
  <c r="T53" i="31"/>
  <c r="S53" i="31"/>
  <c r="R53" i="31"/>
  <c r="Q53" i="31"/>
  <c r="AR52" i="31"/>
  <c r="AL52" i="31"/>
  <c r="Z52" i="31"/>
  <c r="P52" i="31"/>
  <c r="AR51" i="31"/>
  <c r="AL51" i="31"/>
  <c r="AK51" i="31"/>
  <c r="AJ51" i="31"/>
  <c r="AI51" i="31"/>
  <c r="AH51" i="31"/>
  <c r="AG51" i="31"/>
  <c r="AF51" i="31"/>
  <c r="AD51" i="31"/>
  <c r="Y51" i="31"/>
  <c r="X51" i="31"/>
  <c r="W51" i="31"/>
  <c r="U51" i="31"/>
  <c r="T51" i="31"/>
  <c r="S51" i="31"/>
  <c r="R51" i="31"/>
  <c r="Q51" i="31"/>
  <c r="AR50" i="31"/>
  <c r="AL50" i="31"/>
  <c r="Z50" i="31"/>
  <c r="P50" i="31"/>
  <c r="AR49" i="31"/>
  <c r="AL49" i="31"/>
  <c r="Z49" i="31"/>
  <c r="P49" i="31"/>
  <c r="AR48" i="31"/>
  <c r="AL48" i="31"/>
  <c r="Z48" i="31"/>
  <c r="P48" i="31"/>
  <c r="AR47" i="31"/>
  <c r="AL47" i="31"/>
  <c r="Z47" i="31"/>
  <c r="P47" i="31"/>
  <c r="AK46" i="31"/>
  <c r="AJ46" i="31"/>
  <c r="AI46" i="31"/>
  <c r="AH46" i="31"/>
  <c r="AG46" i="31"/>
  <c r="AF46" i="31"/>
  <c r="AD46" i="31"/>
  <c r="Y46" i="31"/>
  <c r="X46" i="31"/>
  <c r="W46" i="31"/>
  <c r="U46" i="31"/>
  <c r="T46" i="31"/>
  <c r="S46" i="31"/>
  <c r="R46" i="31"/>
  <c r="Q46" i="31"/>
  <c r="AR45" i="31"/>
  <c r="AL45" i="31"/>
  <c r="Z45" i="31"/>
  <c r="P45" i="31"/>
  <c r="AR44" i="31"/>
  <c r="AL44" i="31"/>
  <c r="Z44" i="31"/>
  <c r="P44" i="31"/>
  <c r="AR43" i="31"/>
  <c r="AL43" i="31"/>
  <c r="Z43" i="31"/>
  <c r="P43" i="31"/>
  <c r="AK42" i="31"/>
  <c r="AJ42" i="31"/>
  <c r="AI42" i="31"/>
  <c r="AH42" i="31"/>
  <c r="AG42" i="31"/>
  <c r="AF42" i="31"/>
  <c r="AD42" i="31"/>
  <c r="Y42" i="31"/>
  <c r="X42" i="31"/>
  <c r="W42" i="31"/>
  <c r="U42" i="31"/>
  <c r="T42" i="31"/>
  <c r="S42" i="31"/>
  <c r="R42" i="31"/>
  <c r="Q42" i="31"/>
  <c r="AR41" i="31"/>
  <c r="AL41" i="31"/>
  <c r="Z41" i="31"/>
  <c r="P41" i="31"/>
  <c r="AR40" i="31"/>
  <c r="AL40" i="31"/>
  <c r="Z40" i="31"/>
  <c r="P40" i="31"/>
  <c r="AK39" i="31"/>
  <c r="AJ39" i="31"/>
  <c r="AI39" i="31"/>
  <c r="AH39" i="31"/>
  <c r="AG39" i="31"/>
  <c r="AF39" i="31"/>
  <c r="AD39" i="31"/>
  <c r="Y39" i="31"/>
  <c r="X39" i="31"/>
  <c r="W39" i="31"/>
  <c r="U39" i="31"/>
  <c r="T39" i="31"/>
  <c r="S39" i="31"/>
  <c r="R39" i="31"/>
  <c r="Q39" i="31"/>
  <c r="AR38" i="31"/>
  <c r="AL38" i="31"/>
  <c r="Z38" i="31"/>
  <c r="P38" i="31"/>
  <c r="AR37" i="31"/>
  <c r="AL37" i="31"/>
  <c r="AL65" i="31" s="1"/>
  <c r="Z37" i="31"/>
  <c r="P37" i="31"/>
  <c r="AR36" i="31"/>
  <c r="AL36" i="31"/>
  <c r="Z36" i="31"/>
  <c r="P36" i="31"/>
  <c r="AR35" i="31"/>
  <c r="AL35" i="31"/>
  <c r="Z35" i="31"/>
  <c r="P35" i="31"/>
  <c r="AK34" i="31"/>
  <c r="AJ34" i="31"/>
  <c r="AI34" i="31"/>
  <c r="AH34" i="31"/>
  <c r="AG34" i="31"/>
  <c r="AF34" i="31"/>
  <c r="AD34" i="31"/>
  <c r="Y34" i="31"/>
  <c r="X34" i="31"/>
  <c r="W34" i="31"/>
  <c r="U34" i="31"/>
  <c r="T34" i="31"/>
  <c r="S34" i="31"/>
  <c r="R34" i="31"/>
  <c r="Q34" i="31"/>
  <c r="AR33" i="31"/>
  <c r="AL33" i="31"/>
  <c r="Z33" i="31"/>
  <c r="P33" i="31"/>
  <c r="AK32" i="31"/>
  <c r="AJ32" i="31"/>
  <c r="AI32" i="31"/>
  <c r="AH32" i="31"/>
  <c r="AG32" i="31"/>
  <c r="AF32" i="31"/>
  <c r="AD32" i="31"/>
  <c r="Y32" i="31"/>
  <c r="X32" i="31"/>
  <c r="W32" i="31"/>
  <c r="U32" i="31"/>
  <c r="T32" i="31"/>
  <c r="S32" i="31"/>
  <c r="R32" i="31"/>
  <c r="Q32" i="31"/>
  <c r="AR31" i="31"/>
  <c r="AL31" i="31"/>
  <c r="Z31" i="31"/>
  <c r="P31" i="31"/>
  <c r="AR30" i="31"/>
  <c r="AL30" i="31"/>
  <c r="Z30" i="31"/>
  <c r="P30" i="31"/>
  <c r="AR29" i="31"/>
  <c r="AL29" i="31"/>
  <c r="Z29" i="31"/>
  <c r="P29" i="31"/>
  <c r="AR28" i="31"/>
  <c r="AL28" i="31"/>
  <c r="Z28" i="31"/>
  <c r="P28" i="31"/>
  <c r="AK27" i="31"/>
  <c r="AJ27" i="31"/>
  <c r="AI27" i="31"/>
  <c r="AH27" i="31"/>
  <c r="AG27" i="31"/>
  <c r="AF27" i="31"/>
  <c r="AD27" i="31"/>
  <c r="Y27" i="31"/>
  <c r="X27" i="31"/>
  <c r="W27" i="31"/>
  <c r="U27" i="31"/>
  <c r="T27" i="31"/>
  <c r="S27" i="31"/>
  <c r="R27" i="31"/>
  <c r="Q27" i="31"/>
  <c r="AR26" i="31"/>
  <c r="AL26" i="31"/>
  <c r="Z26" i="31"/>
  <c r="P26" i="31"/>
  <c r="AR25" i="31"/>
  <c r="AL25" i="31"/>
  <c r="Z25" i="31"/>
  <c r="P25" i="31"/>
  <c r="AR24" i="31"/>
  <c r="AL24" i="31"/>
  <c r="Z24" i="31"/>
  <c r="P24" i="31"/>
  <c r="AR23" i="31"/>
  <c r="AL23" i="31"/>
  <c r="Z23" i="31"/>
  <c r="P23" i="31"/>
  <c r="AK22" i="31"/>
  <c r="AJ22" i="31"/>
  <c r="AI22" i="31"/>
  <c r="AH22" i="31"/>
  <c r="AG22" i="31"/>
  <c r="AF22" i="31"/>
  <c r="AD22" i="31"/>
  <c r="Y22" i="31"/>
  <c r="X22" i="31"/>
  <c r="W22" i="31"/>
  <c r="U22" i="31"/>
  <c r="T22" i="31"/>
  <c r="S22" i="31"/>
  <c r="R22" i="31"/>
  <c r="Q22" i="31"/>
  <c r="AR21" i="31"/>
  <c r="AL21" i="31"/>
  <c r="Z21" i="31"/>
  <c r="P21" i="31"/>
  <c r="AR20" i="31"/>
  <c r="AL20" i="31"/>
  <c r="AK20" i="31"/>
  <c r="AJ20" i="31"/>
  <c r="AI20" i="31"/>
  <c r="AH20" i="31"/>
  <c r="AG20" i="31"/>
  <c r="AF20" i="31"/>
  <c r="AD20" i="31"/>
  <c r="Z20" i="31"/>
  <c r="Y20" i="31"/>
  <c r="X20" i="31"/>
  <c r="W20" i="31"/>
  <c r="U20" i="31"/>
  <c r="T20" i="31"/>
  <c r="S20" i="31"/>
  <c r="R20" i="31"/>
  <c r="Q20" i="31"/>
  <c r="AR19" i="31"/>
  <c r="AL19" i="31"/>
  <c r="Z19" i="31"/>
  <c r="P19" i="31"/>
  <c r="AR18" i="31"/>
  <c r="AL18" i="31"/>
  <c r="Z18" i="31"/>
  <c r="P18" i="31"/>
  <c r="AK17" i="31"/>
  <c r="AJ17" i="31"/>
  <c r="AI17" i="31"/>
  <c r="AH17" i="31"/>
  <c r="AG17" i="31"/>
  <c r="AF17" i="31"/>
  <c r="AD17" i="31"/>
  <c r="Y17" i="31"/>
  <c r="X17" i="31"/>
  <c r="W17" i="31"/>
  <c r="U17" i="31"/>
  <c r="T17" i="31"/>
  <c r="S17" i="31"/>
  <c r="R17" i="31"/>
  <c r="Q17" i="31"/>
  <c r="AR16" i="31"/>
  <c r="AL16" i="31"/>
  <c r="Z16" i="31"/>
  <c r="P16" i="31"/>
  <c r="AR15" i="31"/>
  <c r="AL15" i="31"/>
  <c r="Z15" i="31"/>
  <c r="P15" i="31"/>
  <c r="AK14" i="31"/>
  <c r="AJ14" i="31"/>
  <c r="AI14" i="31"/>
  <c r="AH14" i="31"/>
  <c r="AG14" i="31"/>
  <c r="AF14" i="31"/>
  <c r="AD14" i="31"/>
  <c r="Y14" i="31"/>
  <c r="X14" i="31"/>
  <c r="W14" i="31"/>
  <c r="U14" i="31"/>
  <c r="T14" i="31"/>
  <c r="S14" i="31"/>
  <c r="R14" i="31"/>
  <c r="Q14" i="31"/>
  <c r="AR13" i="31"/>
  <c r="AL13" i="31"/>
  <c r="Z13" i="31"/>
  <c r="P13" i="31"/>
  <c r="AR12" i="31"/>
  <c r="AL12" i="31"/>
  <c r="Z12" i="31"/>
  <c r="P12" i="31"/>
  <c r="AR93" i="30"/>
  <c r="AL93" i="30"/>
  <c r="AK93" i="30"/>
  <c r="AJ93" i="30"/>
  <c r="AI93" i="30"/>
  <c r="AH93" i="30"/>
  <c r="AG93" i="30"/>
  <c r="AF93" i="30"/>
  <c r="AD93" i="30"/>
  <c r="Z93" i="30"/>
  <c r="Y93" i="30"/>
  <c r="X93" i="30"/>
  <c r="W93" i="30"/>
  <c r="U93" i="30"/>
  <c r="T93" i="30"/>
  <c r="S93" i="30"/>
  <c r="R93" i="30"/>
  <c r="Q93" i="30"/>
  <c r="P93" i="30"/>
  <c r="O93" i="30"/>
  <c r="N93" i="30"/>
  <c r="M93" i="30"/>
  <c r="L93" i="30"/>
  <c r="K93" i="30"/>
  <c r="J93" i="30"/>
  <c r="I93" i="30"/>
  <c r="AK92" i="30"/>
  <c r="AJ92" i="30"/>
  <c r="AI92" i="30"/>
  <c r="AH92" i="30"/>
  <c r="AG92" i="30"/>
  <c r="AF92" i="30"/>
  <c r="AD92" i="30"/>
  <c r="Z92" i="30"/>
  <c r="Y92" i="30"/>
  <c r="X92" i="30"/>
  <c r="W92" i="30"/>
  <c r="U92" i="30"/>
  <c r="T92" i="30"/>
  <c r="S92" i="30"/>
  <c r="R92" i="30"/>
  <c r="Q92" i="30"/>
  <c r="P92" i="30"/>
  <c r="O92" i="30"/>
  <c r="N92" i="30"/>
  <c r="M92" i="30"/>
  <c r="L92" i="30"/>
  <c r="K92" i="30"/>
  <c r="J92" i="30"/>
  <c r="I92" i="30"/>
  <c r="AK91" i="30"/>
  <c r="AJ91" i="30"/>
  <c r="AI91" i="30"/>
  <c r="AH91" i="30"/>
  <c r="AG91" i="30"/>
  <c r="AF91" i="30"/>
  <c r="AD91" i="30"/>
  <c r="Y91" i="30"/>
  <c r="X91" i="30"/>
  <c r="W91" i="30"/>
  <c r="U91" i="30"/>
  <c r="T91" i="30"/>
  <c r="S91" i="30"/>
  <c r="R91" i="30"/>
  <c r="Q91" i="30"/>
  <c r="O91" i="30"/>
  <c r="N91" i="30"/>
  <c r="M91" i="30"/>
  <c r="L91" i="30"/>
  <c r="K91" i="30"/>
  <c r="J91" i="30"/>
  <c r="I91" i="30"/>
  <c r="AS90" i="30"/>
  <c r="AR90" i="30"/>
  <c r="AQ90" i="30"/>
  <c r="AP90" i="30"/>
  <c r="AO90" i="30"/>
  <c r="AN90" i="30"/>
  <c r="AM90" i="30"/>
  <c r="AL90" i="30"/>
  <c r="AK90" i="30"/>
  <c r="AJ90" i="30"/>
  <c r="AI90" i="30"/>
  <c r="AH90" i="30"/>
  <c r="AG90" i="30"/>
  <c r="AF90" i="30"/>
  <c r="AE90" i="30"/>
  <c r="AD90" i="30"/>
  <c r="AC90" i="30"/>
  <c r="AB90" i="30"/>
  <c r="AA90" i="30"/>
  <c r="Z90" i="30"/>
  <c r="Y90" i="30"/>
  <c r="X90" i="30"/>
  <c r="W90" i="30"/>
  <c r="V90" i="30"/>
  <c r="U90" i="30"/>
  <c r="T90" i="30"/>
  <c r="S90" i="30"/>
  <c r="R90" i="30"/>
  <c r="Q90" i="30"/>
  <c r="P90" i="30"/>
  <c r="O90" i="30"/>
  <c r="N90" i="30"/>
  <c r="M90" i="30"/>
  <c r="L90" i="30"/>
  <c r="K90" i="30"/>
  <c r="J90" i="30"/>
  <c r="I90" i="30"/>
  <c r="AS89" i="30"/>
  <c r="AR89" i="30"/>
  <c r="AQ89" i="30"/>
  <c r="AP89" i="30"/>
  <c r="AO89" i="30"/>
  <c r="AN89" i="30"/>
  <c r="AM89" i="30"/>
  <c r="AL89" i="30"/>
  <c r="AK89" i="30"/>
  <c r="AJ89" i="30"/>
  <c r="AI89" i="30"/>
  <c r="AH89" i="30"/>
  <c r="AG89" i="30"/>
  <c r="AF89" i="30"/>
  <c r="AE89" i="30"/>
  <c r="AD89" i="30"/>
  <c r="AC89" i="30"/>
  <c r="AB89" i="30"/>
  <c r="AA89" i="30"/>
  <c r="Z89" i="30"/>
  <c r="Y89" i="30"/>
  <c r="X89" i="30"/>
  <c r="W89" i="30"/>
  <c r="V89" i="30"/>
  <c r="U89" i="30"/>
  <c r="T89" i="30"/>
  <c r="S89" i="30"/>
  <c r="R89" i="30"/>
  <c r="Q89" i="30"/>
  <c r="P89" i="30"/>
  <c r="O89" i="30"/>
  <c r="N89" i="30"/>
  <c r="M89" i="30"/>
  <c r="L89" i="30"/>
  <c r="K89" i="30"/>
  <c r="J89" i="30"/>
  <c r="I89" i="30"/>
  <c r="AS88" i="30"/>
  <c r="AR88" i="30"/>
  <c r="AQ88" i="30"/>
  <c r="AP88" i="30"/>
  <c r="AO88" i="30"/>
  <c r="AN88" i="30"/>
  <c r="AM88" i="30"/>
  <c r="AL88" i="30"/>
  <c r="AK88" i="30"/>
  <c r="AJ88" i="30"/>
  <c r="AI88" i="30"/>
  <c r="AH88" i="30"/>
  <c r="AG88" i="30"/>
  <c r="AF88" i="30"/>
  <c r="AE88" i="30"/>
  <c r="AD88" i="30"/>
  <c r="AC88" i="30"/>
  <c r="AB88" i="30"/>
  <c r="AA88" i="30"/>
  <c r="Z88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AK87" i="30"/>
  <c r="AJ87" i="30"/>
  <c r="AI87" i="30"/>
  <c r="AH87" i="30"/>
  <c r="AG87" i="30"/>
  <c r="AF87" i="30"/>
  <c r="AD87" i="30"/>
  <c r="Y87" i="30"/>
  <c r="X87" i="30"/>
  <c r="W87" i="30"/>
  <c r="U87" i="30"/>
  <c r="T87" i="30"/>
  <c r="S87" i="30"/>
  <c r="R87" i="30"/>
  <c r="Q87" i="30"/>
  <c r="O87" i="30"/>
  <c r="N87" i="30"/>
  <c r="M87" i="30"/>
  <c r="L87" i="30"/>
  <c r="K87" i="30"/>
  <c r="J87" i="30"/>
  <c r="I87" i="30"/>
  <c r="AS86" i="30"/>
  <c r="AR86" i="30"/>
  <c r="AQ86" i="30"/>
  <c r="AP86" i="30"/>
  <c r="AO86" i="30"/>
  <c r="AN86" i="30"/>
  <c r="AM86" i="30"/>
  <c r="AL86" i="30"/>
  <c r="AK86" i="30"/>
  <c r="AJ86" i="30"/>
  <c r="AI86" i="30"/>
  <c r="AH86" i="30"/>
  <c r="AG86" i="30"/>
  <c r="AF86" i="30"/>
  <c r="AE86" i="30"/>
  <c r="AD86" i="30"/>
  <c r="AC86" i="30"/>
  <c r="AB86" i="30"/>
  <c r="AA86" i="30"/>
  <c r="Z86" i="30"/>
  <c r="Y86" i="30"/>
  <c r="X86" i="30"/>
  <c r="W86" i="30"/>
  <c r="V86" i="30"/>
  <c r="U86" i="30"/>
  <c r="T86" i="30"/>
  <c r="S86" i="30"/>
  <c r="R86" i="30"/>
  <c r="Q86" i="30"/>
  <c r="P86" i="30"/>
  <c r="O86" i="30"/>
  <c r="N86" i="30"/>
  <c r="M86" i="30"/>
  <c r="L86" i="30"/>
  <c r="K86" i="30"/>
  <c r="J86" i="30"/>
  <c r="I86" i="30"/>
  <c r="AR85" i="30"/>
  <c r="AK85" i="30"/>
  <c r="AJ85" i="30"/>
  <c r="AI85" i="30"/>
  <c r="AH85" i="30"/>
  <c r="AG85" i="30"/>
  <c r="AF85" i="30"/>
  <c r="AD85" i="30"/>
  <c r="Z85" i="30"/>
  <c r="Y85" i="30"/>
  <c r="X85" i="30"/>
  <c r="W85" i="30"/>
  <c r="U85" i="30"/>
  <c r="T85" i="30"/>
  <c r="S85" i="30"/>
  <c r="R85" i="30"/>
  <c r="Q85" i="30"/>
  <c r="P85" i="30"/>
  <c r="O85" i="30"/>
  <c r="N85" i="30"/>
  <c r="M85" i="30"/>
  <c r="L85" i="30"/>
  <c r="K85" i="30"/>
  <c r="J85" i="30"/>
  <c r="I85" i="30"/>
  <c r="AR84" i="30"/>
  <c r="AL84" i="30"/>
  <c r="AK84" i="30"/>
  <c r="AJ84" i="30"/>
  <c r="AI84" i="30"/>
  <c r="AH84" i="30"/>
  <c r="AG84" i="30"/>
  <c r="AF84" i="30"/>
  <c r="AD84" i="30"/>
  <c r="Z84" i="30"/>
  <c r="Y84" i="30"/>
  <c r="X84" i="30"/>
  <c r="W84" i="30"/>
  <c r="U84" i="30"/>
  <c r="T84" i="30"/>
  <c r="S84" i="30"/>
  <c r="R84" i="30"/>
  <c r="Q84" i="30"/>
  <c r="P84" i="30"/>
  <c r="O84" i="30"/>
  <c r="N84" i="30"/>
  <c r="M84" i="30"/>
  <c r="L84" i="30"/>
  <c r="K84" i="30"/>
  <c r="J84" i="30"/>
  <c r="I84" i="30"/>
  <c r="AK83" i="30"/>
  <c r="AJ83" i="30"/>
  <c r="AI83" i="30"/>
  <c r="AH83" i="30"/>
  <c r="AF83" i="30"/>
  <c r="AD83" i="30"/>
  <c r="Y83" i="30"/>
  <c r="X83" i="30"/>
  <c r="W83" i="30"/>
  <c r="U83" i="30"/>
  <c r="T83" i="30"/>
  <c r="S83" i="30"/>
  <c r="R83" i="30"/>
  <c r="O83" i="30"/>
  <c r="N83" i="30"/>
  <c r="M83" i="30"/>
  <c r="L83" i="30"/>
  <c r="K83" i="30"/>
  <c r="J83" i="30"/>
  <c r="I83" i="30"/>
  <c r="Z82" i="30"/>
  <c r="P82" i="30"/>
  <c r="I82" i="30"/>
  <c r="O80" i="30"/>
  <c r="N80" i="30"/>
  <c r="M80" i="30"/>
  <c r="L80" i="30"/>
  <c r="K80" i="30"/>
  <c r="J80" i="30"/>
  <c r="I80" i="30"/>
  <c r="AK79" i="30"/>
  <c r="AJ79" i="30"/>
  <c r="AI79" i="30"/>
  <c r="AH79" i="30"/>
  <c r="AG79" i="30"/>
  <c r="AF79" i="30"/>
  <c r="AD79" i="30"/>
  <c r="Y79" i="30"/>
  <c r="X79" i="30"/>
  <c r="W79" i="30"/>
  <c r="U79" i="30"/>
  <c r="T79" i="30"/>
  <c r="S79" i="30"/>
  <c r="R79" i="30"/>
  <c r="Q79" i="30"/>
  <c r="AR78" i="30"/>
  <c r="AL78" i="30"/>
  <c r="Z78" i="30"/>
  <c r="P78" i="30"/>
  <c r="AR77" i="30"/>
  <c r="AL77" i="30"/>
  <c r="Z77" i="30"/>
  <c r="P77" i="30"/>
  <c r="AR76" i="30"/>
  <c r="AL76" i="30"/>
  <c r="Z76" i="30"/>
  <c r="P76" i="30"/>
  <c r="AR75" i="30"/>
  <c r="AL75" i="30"/>
  <c r="Z75" i="30"/>
  <c r="P75" i="30"/>
  <c r="AK74" i="30"/>
  <c r="AJ74" i="30"/>
  <c r="AI74" i="30"/>
  <c r="AH74" i="30"/>
  <c r="AG74" i="30"/>
  <c r="AF74" i="30"/>
  <c r="AD74" i="30"/>
  <c r="Y74" i="30"/>
  <c r="X74" i="30"/>
  <c r="W74" i="30"/>
  <c r="U74" i="30"/>
  <c r="T74" i="30"/>
  <c r="S74" i="30"/>
  <c r="R74" i="30"/>
  <c r="Q74" i="30"/>
  <c r="AR73" i="30"/>
  <c r="AL73" i="30"/>
  <c r="Z73" i="30"/>
  <c r="P73" i="30"/>
  <c r="AR72" i="30"/>
  <c r="AL72" i="30"/>
  <c r="Z72" i="30"/>
  <c r="P72" i="30"/>
  <c r="AR71" i="30"/>
  <c r="AL71" i="30"/>
  <c r="Z71" i="30"/>
  <c r="P71" i="30"/>
  <c r="AR70" i="30"/>
  <c r="AL70" i="30"/>
  <c r="Z70" i="30"/>
  <c r="P70" i="30"/>
  <c r="AK69" i="30"/>
  <c r="AJ69" i="30"/>
  <c r="AI69" i="30"/>
  <c r="AH69" i="30"/>
  <c r="AG69" i="30"/>
  <c r="AF69" i="30"/>
  <c r="AD69" i="30"/>
  <c r="Y69" i="30"/>
  <c r="X69" i="30"/>
  <c r="W69" i="30"/>
  <c r="U69" i="30"/>
  <c r="T69" i="30"/>
  <c r="S69" i="30"/>
  <c r="R69" i="30"/>
  <c r="Q69" i="30"/>
  <c r="AR68" i="30"/>
  <c r="AL68" i="30"/>
  <c r="Z68" i="30"/>
  <c r="P68" i="30"/>
  <c r="AR67" i="30"/>
  <c r="AL67" i="30"/>
  <c r="Z67" i="30"/>
  <c r="P67" i="30"/>
  <c r="AK66" i="30"/>
  <c r="AJ66" i="30"/>
  <c r="AI66" i="30"/>
  <c r="AH66" i="30"/>
  <c r="AG66" i="30"/>
  <c r="AF66" i="30"/>
  <c r="AD66" i="30"/>
  <c r="Y66" i="30"/>
  <c r="X66" i="30"/>
  <c r="W66" i="30"/>
  <c r="U66" i="30"/>
  <c r="T66" i="30"/>
  <c r="S66" i="30"/>
  <c r="R66" i="30"/>
  <c r="Q66" i="30"/>
  <c r="AR65" i="30"/>
  <c r="AL65" i="30"/>
  <c r="Z65" i="30"/>
  <c r="P65" i="30"/>
  <c r="AR64" i="30"/>
  <c r="AL64" i="30"/>
  <c r="Z64" i="30"/>
  <c r="P64" i="30"/>
  <c r="AR63" i="30"/>
  <c r="AL63" i="30"/>
  <c r="Z63" i="30"/>
  <c r="P63" i="30"/>
  <c r="AK62" i="30"/>
  <c r="AJ62" i="30"/>
  <c r="AI62" i="30"/>
  <c r="AH62" i="30"/>
  <c r="AG62" i="30"/>
  <c r="AF62" i="30"/>
  <c r="AD62" i="30"/>
  <c r="Y62" i="30"/>
  <c r="X62" i="30"/>
  <c r="W62" i="30"/>
  <c r="U62" i="30"/>
  <c r="T62" i="30"/>
  <c r="S62" i="30"/>
  <c r="R62" i="30"/>
  <c r="Q62" i="30"/>
  <c r="AR61" i="30"/>
  <c r="AL61" i="30"/>
  <c r="Z61" i="30"/>
  <c r="P61" i="30"/>
  <c r="AR60" i="30"/>
  <c r="AL60" i="30"/>
  <c r="Z60" i="30"/>
  <c r="P60" i="30"/>
  <c r="AK59" i="30"/>
  <c r="AJ59" i="30"/>
  <c r="AI59" i="30"/>
  <c r="AH59" i="30"/>
  <c r="AG59" i="30"/>
  <c r="AF59" i="30"/>
  <c r="AD59" i="30"/>
  <c r="Y59" i="30"/>
  <c r="X59" i="30"/>
  <c r="W59" i="30"/>
  <c r="U59" i="30"/>
  <c r="T59" i="30"/>
  <c r="S59" i="30"/>
  <c r="R59" i="30"/>
  <c r="Q59" i="30"/>
  <c r="AR58" i="30"/>
  <c r="AL58" i="30"/>
  <c r="Z58" i="30"/>
  <c r="P58" i="30"/>
  <c r="AR57" i="30"/>
  <c r="AL57" i="30"/>
  <c r="Z57" i="30"/>
  <c r="P57" i="30"/>
  <c r="AR56" i="30"/>
  <c r="AL56" i="30"/>
  <c r="Z56" i="30"/>
  <c r="P56" i="30"/>
  <c r="AK55" i="30"/>
  <c r="AJ55" i="30"/>
  <c r="AI55" i="30"/>
  <c r="AH55" i="30"/>
  <c r="AG55" i="30"/>
  <c r="AF55" i="30"/>
  <c r="AD55" i="30"/>
  <c r="Y55" i="30"/>
  <c r="X55" i="30"/>
  <c r="W55" i="30"/>
  <c r="U55" i="30"/>
  <c r="T55" i="30"/>
  <c r="S55" i="30"/>
  <c r="R55" i="30"/>
  <c r="Q55" i="30"/>
  <c r="AR54" i="30"/>
  <c r="AL54" i="30"/>
  <c r="Z54" i="30"/>
  <c r="P54" i="30"/>
  <c r="AR53" i="30"/>
  <c r="AL53" i="30"/>
  <c r="Z53" i="30"/>
  <c r="P53" i="30"/>
  <c r="AK52" i="30"/>
  <c r="AJ52" i="30"/>
  <c r="AI52" i="30"/>
  <c r="AH52" i="30"/>
  <c r="AG52" i="30"/>
  <c r="AF52" i="30"/>
  <c r="AD52" i="30"/>
  <c r="Y52" i="30"/>
  <c r="X52" i="30"/>
  <c r="W52" i="30"/>
  <c r="U52" i="30"/>
  <c r="T52" i="30"/>
  <c r="S52" i="30"/>
  <c r="R52" i="30"/>
  <c r="Q52" i="30"/>
  <c r="AR51" i="30"/>
  <c r="AL51" i="30"/>
  <c r="Z51" i="30"/>
  <c r="P51" i="30"/>
  <c r="AR50" i="30"/>
  <c r="AL50" i="30"/>
  <c r="Z50" i="30"/>
  <c r="P50" i="30"/>
  <c r="AR49" i="30"/>
  <c r="AL49" i="30"/>
  <c r="Z49" i="30"/>
  <c r="P49" i="30"/>
  <c r="AR48" i="30"/>
  <c r="AL48" i="30"/>
  <c r="Z48" i="30"/>
  <c r="P48" i="30"/>
  <c r="AR47" i="30"/>
  <c r="AK47" i="30"/>
  <c r="AJ47" i="30"/>
  <c r="AI47" i="30"/>
  <c r="AH47" i="30"/>
  <c r="AG47" i="30"/>
  <c r="AF47" i="30"/>
  <c r="AD47" i="30"/>
  <c r="Y47" i="30"/>
  <c r="X47" i="30"/>
  <c r="W47" i="30"/>
  <c r="U47" i="30"/>
  <c r="T47" i="30"/>
  <c r="S47" i="30"/>
  <c r="R47" i="30"/>
  <c r="Q47" i="30"/>
  <c r="AR46" i="30"/>
  <c r="AL46" i="30"/>
  <c r="Z46" i="30"/>
  <c r="P46" i="30"/>
  <c r="AR45" i="30"/>
  <c r="AL45" i="30"/>
  <c r="Z45" i="30"/>
  <c r="P45" i="30"/>
  <c r="AR44" i="30"/>
  <c r="AL44" i="30"/>
  <c r="Z44" i="30"/>
  <c r="P44" i="30"/>
  <c r="AK43" i="30"/>
  <c r="AJ43" i="30"/>
  <c r="AI43" i="30"/>
  <c r="AH43" i="30"/>
  <c r="AG43" i="30"/>
  <c r="AF43" i="30"/>
  <c r="AD43" i="30"/>
  <c r="Y43" i="30"/>
  <c r="X43" i="30"/>
  <c r="W43" i="30"/>
  <c r="U43" i="30"/>
  <c r="T43" i="30"/>
  <c r="S43" i="30"/>
  <c r="R43" i="30"/>
  <c r="Q43" i="30"/>
  <c r="AR42" i="30"/>
  <c r="AL42" i="30"/>
  <c r="Z42" i="30"/>
  <c r="P42" i="30"/>
  <c r="AR41" i="30"/>
  <c r="AL41" i="30"/>
  <c r="Z41" i="30"/>
  <c r="P41" i="30"/>
  <c r="AK40" i="30"/>
  <c r="AJ40" i="30"/>
  <c r="AI40" i="30"/>
  <c r="AH40" i="30"/>
  <c r="AF40" i="30"/>
  <c r="AD40" i="30"/>
  <c r="Y40" i="30"/>
  <c r="X40" i="30"/>
  <c r="W40" i="30"/>
  <c r="U40" i="30"/>
  <c r="T40" i="30"/>
  <c r="S40" i="30"/>
  <c r="R40" i="30"/>
  <c r="AR39" i="30"/>
  <c r="AL39" i="30"/>
  <c r="Z39" i="30"/>
  <c r="P39" i="30"/>
  <c r="AR38" i="30"/>
  <c r="Z38" i="30"/>
  <c r="P38" i="30"/>
  <c r="AR37" i="30"/>
  <c r="AL37" i="30"/>
  <c r="Z37" i="30"/>
  <c r="P37" i="30"/>
  <c r="AR36" i="30"/>
  <c r="AL36" i="30"/>
  <c r="Z36" i="30"/>
  <c r="P36" i="30"/>
  <c r="AR35" i="30"/>
  <c r="AL35" i="30"/>
  <c r="Z35" i="30"/>
  <c r="P35" i="30"/>
  <c r="AK34" i="30"/>
  <c r="AJ34" i="30"/>
  <c r="AI34" i="30"/>
  <c r="AH34" i="30"/>
  <c r="AG34" i="30"/>
  <c r="AF34" i="30"/>
  <c r="AD34" i="30"/>
  <c r="Y34" i="30"/>
  <c r="X34" i="30"/>
  <c r="W34" i="30"/>
  <c r="U34" i="30"/>
  <c r="T34" i="30"/>
  <c r="S34" i="30"/>
  <c r="R34" i="30"/>
  <c r="Q34" i="30"/>
  <c r="AR33" i="30"/>
  <c r="AL33" i="30"/>
  <c r="Z33" i="30"/>
  <c r="P33" i="30"/>
  <c r="AR32" i="30"/>
  <c r="AL32" i="30"/>
  <c r="Z32" i="30"/>
  <c r="P32" i="30"/>
  <c r="AR31" i="30"/>
  <c r="AL31" i="30"/>
  <c r="Z31" i="30"/>
  <c r="P31" i="30"/>
  <c r="AR30" i="30"/>
  <c r="AL30" i="30"/>
  <c r="Z30" i="30"/>
  <c r="P30" i="30"/>
  <c r="AK29" i="30"/>
  <c r="AJ29" i="30"/>
  <c r="AI29" i="30"/>
  <c r="AH29" i="30"/>
  <c r="AG29" i="30"/>
  <c r="AF29" i="30"/>
  <c r="AD29" i="30"/>
  <c r="Y29" i="30"/>
  <c r="X29" i="30"/>
  <c r="W29" i="30"/>
  <c r="U29" i="30"/>
  <c r="T29" i="30"/>
  <c r="S29" i="30"/>
  <c r="R29" i="30"/>
  <c r="Q29" i="30"/>
  <c r="AR28" i="30"/>
  <c r="AL28" i="30"/>
  <c r="Z28" i="30"/>
  <c r="P28" i="30"/>
  <c r="AK27" i="30"/>
  <c r="AJ27" i="30"/>
  <c r="AI27" i="30"/>
  <c r="AH27" i="30"/>
  <c r="AG27" i="30"/>
  <c r="AF27" i="30"/>
  <c r="AD27" i="30"/>
  <c r="Y27" i="30"/>
  <c r="X27" i="30"/>
  <c r="W27" i="30"/>
  <c r="U27" i="30"/>
  <c r="T27" i="30"/>
  <c r="S27" i="30"/>
  <c r="R27" i="30"/>
  <c r="Q27" i="30"/>
  <c r="AR26" i="30"/>
  <c r="AL26" i="30"/>
  <c r="Z26" i="30"/>
  <c r="P26" i="30"/>
  <c r="AR25" i="30"/>
  <c r="AL25" i="30"/>
  <c r="Z25" i="30"/>
  <c r="P25" i="30"/>
  <c r="AR24" i="30"/>
  <c r="AL24" i="30"/>
  <c r="Z24" i="30"/>
  <c r="P24" i="30"/>
  <c r="AR23" i="30"/>
  <c r="AL23" i="30"/>
  <c r="Z23" i="30"/>
  <c r="P23" i="30"/>
  <c r="AK22" i="30"/>
  <c r="AJ22" i="30"/>
  <c r="AI22" i="30"/>
  <c r="AH22" i="30"/>
  <c r="AF22" i="30"/>
  <c r="AD22" i="30"/>
  <c r="Y22" i="30"/>
  <c r="X22" i="30"/>
  <c r="W22" i="30"/>
  <c r="U22" i="30"/>
  <c r="T22" i="30"/>
  <c r="S22" i="30"/>
  <c r="R22" i="30"/>
  <c r="Q22" i="30"/>
  <c r="AR21" i="30"/>
  <c r="AL21" i="30"/>
  <c r="Z21" i="30"/>
  <c r="P21" i="30"/>
  <c r="AR20" i="30"/>
  <c r="AL20" i="30"/>
  <c r="Z20" i="30"/>
  <c r="P20" i="30"/>
  <c r="AR19" i="30"/>
  <c r="Z19" i="30"/>
  <c r="V19" i="30"/>
  <c r="P19" i="30"/>
  <c r="AR18" i="30"/>
  <c r="AL18" i="30"/>
  <c r="Z18" i="30"/>
  <c r="P18" i="30"/>
  <c r="AR17" i="30"/>
  <c r="AL17" i="30"/>
  <c r="Z17" i="30"/>
  <c r="P17" i="30"/>
  <c r="AK16" i="30"/>
  <c r="AJ16" i="30"/>
  <c r="AI16" i="30"/>
  <c r="AH16" i="30"/>
  <c r="AG16" i="30"/>
  <c r="AF16" i="30"/>
  <c r="AD16" i="30"/>
  <c r="Y16" i="30"/>
  <c r="X16" i="30"/>
  <c r="W16" i="30"/>
  <c r="U16" i="30"/>
  <c r="T16" i="30"/>
  <c r="S16" i="30"/>
  <c r="R16" i="30"/>
  <c r="Q16" i="30"/>
  <c r="AR15" i="30"/>
  <c r="AL15" i="30"/>
  <c r="Z15" i="30"/>
  <c r="P15" i="30"/>
  <c r="AK14" i="30"/>
  <c r="AJ14" i="30"/>
  <c r="AI14" i="30"/>
  <c r="AH14" i="30"/>
  <c r="AG14" i="30"/>
  <c r="AF14" i="30"/>
  <c r="AD14" i="30"/>
  <c r="Y14" i="30"/>
  <c r="X14" i="30"/>
  <c r="W14" i="30"/>
  <c r="U14" i="30"/>
  <c r="T14" i="30"/>
  <c r="S14" i="30"/>
  <c r="R14" i="30"/>
  <c r="Q14" i="30"/>
  <c r="AR13" i="30"/>
  <c r="AL13" i="30"/>
  <c r="Z13" i="30"/>
  <c r="P13" i="30"/>
  <c r="AR12" i="30"/>
  <c r="AL12" i="30"/>
  <c r="Z12" i="30"/>
  <c r="P12" i="30"/>
  <c r="AR165" i="29"/>
  <c r="AL165" i="29"/>
  <c r="AK165" i="29"/>
  <c r="AJ165" i="29"/>
  <c r="AI165" i="29"/>
  <c r="AH165" i="29"/>
  <c r="AG165" i="29"/>
  <c r="AF165" i="29"/>
  <c r="AD165" i="29"/>
  <c r="Z165" i="29"/>
  <c r="Y165" i="29"/>
  <c r="X165" i="29"/>
  <c r="W165" i="29"/>
  <c r="U165" i="29"/>
  <c r="T165" i="29"/>
  <c r="S165" i="29"/>
  <c r="R165" i="29"/>
  <c r="Q165" i="29"/>
  <c r="P165" i="29"/>
  <c r="O165" i="29"/>
  <c r="N165" i="29"/>
  <c r="M165" i="29"/>
  <c r="L165" i="29"/>
  <c r="K165" i="29"/>
  <c r="J165" i="29"/>
  <c r="I165" i="29"/>
  <c r="AR164" i="29"/>
  <c r="AL164" i="29"/>
  <c r="AK164" i="29"/>
  <c r="AJ164" i="29"/>
  <c r="AI164" i="29"/>
  <c r="AH164" i="29"/>
  <c r="AG164" i="29"/>
  <c r="AF164" i="29"/>
  <c r="AD164" i="29"/>
  <c r="Z164" i="29"/>
  <c r="Y164" i="29"/>
  <c r="X164" i="29"/>
  <c r="W164" i="29"/>
  <c r="U164" i="29"/>
  <c r="T164" i="29"/>
  <c r="S164" i="29"/>
  <c r="R164" i="29"/>
  <c r="Q164" i="29"/>
  <c r="P164" i="29"/>
  <c r="O164" i="29"/>
  <c r="N164" i="29"/>
  <c r="M164" i="29"/>
  <c r="L164" i="29"/>
  <c r="K164" i="29"/>
  <c r="J164" i="29"/>
  <c r="I164" i="29"/>
  <c r="AK163" i="29"/>
  <c r="AJ163" i="29"/>
  <c r="AI163" i="29"/>
  <c r="AH163" i="29"/>
  <c r="AG163" i="29"/>
  <c r="AF163" i="29"/>
  <c r="AD163" i="29"/>
  <c r="Y163" i="29"/>
  <c r="X163" i="29"/>
  <c r="W163" i="29"/>
  <c r="U163" i="29"/>
  <c r="T163" i="29"/>
  <c r="S163" i="29"/>
  <c r="R163" i="29"/>
  <c r="Q163" i="29"/>
  <c r="O163" i="29"/>
  <c r="N163" i="29"/>
  <c r="M163" i="29"/>
  <c r="L163" i="29"/>
  <c r="K163" i="29"/>
  <c r="J163" i="29"/>
  <c r="I163" i="29"/>
  <c r="AS162" i="29"/>
  <c r="AR162" i="29"/>
  <c r="AQ162" i="29"/>
  <c r="AP162" i="29"/>
  <c r="AO162" i="29"/>
  <c r="AN162" i="29"/>
  <c r="AM162" i="29"/>
  <c r="AL162" i="29"/>
  <c r="AK162" i="29"/>
  <c r="AJ162" i="29"/>
  <c r="AI162" i="29"/>
  <c r="AH162" i="29"/>
  <c r="AG162" i="29"/>
  <c r="AF162" i="29"/>
  <c r="AE162" i="29"/>
  <c r="AD162" i="29"/>
  <c r="AC162" i="29"/>
  <c r="AB162" i="29"/>
  <c r="AA162" i="29"/>
  <c r="Z162" i="29"/>
  <c r="Y162" i="29"/>
  <c r="X162" i="29"/>
  <c r="W162" i="29"/>
  <c r="V162" i="29"/>
  <c r="U162" i="29"/>
  <c r="T162" i="29"/>
  <c r="S162" i="29"/>
  <c r="R162" i="29"/>
  <c r="Q162" i="29"/>
  <c r="P162" i="29"/>
  <c r="O162" i="29"/>
  <c r="N162" i="29"/>
  <c r="M162" i="29"/>
  <c r="L162" i="29"/>
  <c r="K162" i="29"/>
  <c r="J162" i="29"/>
  <c r="I162" i="29"/>
  <c r="AS161" i="29"/>
  <c r="AR161" i="29"/>
  <c r="AQ161" i="29"/>
  <c r="AP161" i="29"/>
  <c r="AO161" i="29"/>
  <c r="AN161" i="29"/>
  <c r="AM161" i="29"/>
  <c r="AL161" i="29"/>
  <c r="AK161" i="29"/>
  <c r="AJ161" i="29"/>
  <c r="AI161" i="29"/>
  <c r="AH161" i="29"/>
  <c r="AG161" i="29"/>
  <c r="AF161" i="29"/>
  <c r="AE161" i="29"/>
  <c r="AD161" i="29"/>
  <c r="AC161" i="29"/>
  <c r="AB161" i="29"/>
  <c r="AA161" i="29"/>
  <c r="Z161" i="29"/>
  <c r="Y161" i="29"/>
  <c r="X161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K161" i="29"/>
  <c r="J161" i="29"/>
  <c r="I161" i="29"/>
  <c r="AS160" i="29"/>
  <c r="AR160" i="29"/>
  <c r="AQ160" i="29"/>
  <c r="AP160" i="29"/>
  <c r="AO160" i="29"/>
  <c r="AN160" i="29"/>
  <c r="AM160" i="29"/>
  <c r="AL160" i="29"/>
  <c r="AK160" i="29"/>
  <c r="AJ160" i="29"/>
  <c r="AI160" i="29"/>
  <c r="AH160" i="29"/>
  <c r="AG160" i="29"/>
  <c r="AF160" i="29"/>
  <c r="AE160" i="29"/>
  <c r="AD160" i="29"/>
  <c r="AC160" i="29"/>
  <c r="AB160" i="29"/>
  <c r="AA160" i="29"/>
  <c r="Z160" i="29"/>
  <c r="Y160" i="29"/>
  <c r="X160" i="29"/>
  <c r="W160" i="29"/>
  <c r="V160" i="29"/>
  <c r="U160" i="29"/>
  <c r="T160" i="29"/>
  <c r="S160" i="29"/>
  <c r="R160" i="29"/>
  <c r="Q160" i="29"/>
  <c r="P160" i="29"/>
  <c r="O160" i="29"/>
  <c r="N160" i="29"/>
  <c r="M160" i="29"/>
  <c r="L160" i="29"/>
  <c r="K160" i="29"/>
  <c r="J160" i="29"/>
  <c r="I160" i="29"/>
  <c r="AR159" i="29"/>
  <c r="AK159" i="29"/>
  <c r="AJ159" i="29"/>
  <c r="AI159" i="29"/>
  <c r="AH159" i="29"/>
  <c r="AG159" i="29"/>
  <c r="AF159" i="29"/>
  <c r="AD159" i="29"/>
  <c r="Z159" i="29"/>
  <c r="Y159" i="29"/>
  <c r="X159" i="29"/>
  <c r="W159" i="29"/>
  <c r="U159" i="29"/>
  <c r="T159" i="29"/>
  <c r="S159" i="29"/>
  <c r="R159" i="29"/>
  <c r="Q159" i="29"/>
  <c r="P159" i="29"/>
  <c r="O159" i="29"/>
  <c r="N159" i="29"/>
  <c r="M159" i="29"/>
  <c r="L159" i="29"/>
  <c r="K159" i="29"/>
  <c r="J159" i="29"/>
  <c r="I159" i="29"/>
  <c r="AS158" i="29"/>
  <c r="AR158" i="29"/>
  <c r="AQ158" i="29"/>
  <c r="AP158" i="29"/>
  <c r="AO158" i="29"/>
  <c r="AN158" i="29"/>
  <c r="AM158" i="29"/>
  <c r="AL158" i="29"/>
  <c r="AK158" i="29"/>
  <c r="AJ158" i="29"/>
  <c r="AI158" i="29"/>
  <c r="AH158" i="29"/>
  <c r="AG158" i="29"/>
  <c r="AF158" i="29"/>
  <c r="AE158" i="29"/>
  <c r="AD158" i="29"/>
  <c r="AC158" i="29"/>
  <c r="AB158" i="29"/>
  <c r="AA158" i="29"/>
  <c r="Z158" i="29"/>
  <c r="Y158" i="29"/>
  <c r="X158" i="29"/>
  <c r="W158" i="29"/>
  <c r="V158" i="29"/>
  <c r="U158" i="29"/>
  <c r="T158" i="29"/>
  <c r="S158" i="29"/>
  <c r="R158" i="29"/>
  <c r="Q158" i="29"/>
  <c r="P158" i="29"/>
  <c r="O158" i="29"/>
  <c r="N158" i="29"/>
  <c r="M158" i="29"/>
  <c r="L158" i="29"/>
  <c r="K158" i="29"/>
  <c r="J158" i="29"/>
  <c r="I158" i="29"/>
  <c r="AK157" i="29"/>
  <c r="AJ157" i="29"/>
  <c r="AI157" i="29"/>
  <c r="AH157" i="29"/>
  <c r="AG157" i="29"/>
  <c r="AF157" i="29"/>
  <c r="AD157" i="29"/>
  <c r="Y157" i="29"/>
  <c r="X157" i="29"/>
  <c r="W157" i="29"/>
  <c r="U157" i="29"/>
  <c r="T157" i="29"/>
  <c r="S157" i="29"/>
  <c r="R157" i="29"/>
  <c r="Q157" i="29"/>
  <c r="O157" i="29"/>
  <c r="N157" i="29"/>
  <c r="M157" i="29"/>
  <c r="L157" i="29"/>
  <c r="K157" i="29"/>
  <c r="J157" i="29"/>
  <c r="I157" i="29"/>
  <c r="AK156" i="29"/>
  <c r="AJ156" i="29"/>
  <c r="AI156" i="29"/>
  <c r="AH156" i="29"/>
  <c r="AG156" i="29"/>
  <c r="AF156" i="29"/>
  <c r="AD156" i="29"/>
  <c r="Z156" i="29"/>
  <c r="Y156" i="29"/>
  <c r="X156" i="29"/>
  <c r="W156" i="29"/>
  <c r="U156" i="29"/>
  <c r="T156" i="29"/>
  <c r="S156" i="29"/>
  <c r="R156" i="29"/>
  <c r="Q156" i="29"/>
  <c r="P156" i="29"/>
  <c r="O156" i="29"/>
  <c r="N156" i="29"/>
  <c r="M156" i="29"/>
  <c r="L156" i="29"/>
  <c r="K156" i="29"/>
  <c r="J156" i="29"/>
  <c r="I156" i="29"/>
  <c r="AK155" i="29"/>
  <c r="AJ155" i="29"/>
  <c r="AI155" i="29"/>
  <c r="AH155" i="29"/>
  <c r="AF155" i="29"/>
  <c r="AD155" i="29"/>
  <c r="Y155" i="29"/>
  <c r="X155" i="29"/>
  <c r="W155" i="29"/>
  <c r="U155" i="29"/>
  <c r="T155" i="29"/>
  <c r="S155" i="29"/>
  <c r="R155" i="29"/>
  <c r="O155" i="29"/>
  <c r="N155" i="29"/>
  <c r="M155" i="29"/>
  <c r="L155" i="29"/>
  <c r="K155" i="29"/>
  <c r="J155" i="29"/>
  <c r="I155" i="29"/>
  <c r="Z154" i="29"/>
  <c r="P154" i="29"/>
  <c r="I154" i="29"/>
  <c r="O152" i="29"/>
  <c r="N152" i="29"/>
  <c r="M152" i="29"/>
  <c r="L152" i="29"/>
  <c r="K152" i="29"/>
  <c r="J152" i="29"/>
  <c r="I152" i="29"/>
  <c r="AK151" i="29"/>
  <c r="AJ151" i="29"/>
  <c r="AI151" i="29"/>
  <c r="AH151" i="29"/>
  <c r="AG151" i="29"/>
  <c r="AF151" i="29"/>
  <c r="AD151" i="29"/>
  <c r="Y151" i="29"/>
  <c r="X151" i="29"/>
  <c r="W151" i="29"/>
  <c r="U151" i="29"/>
  <c r="T151" i="29"/>
  <c r="S151" i="29"/>
  <c r="R151" i="29"/>
  <c r="Q151" i="29"/>
  <c r="AR150" i="29"/>
  <c r="AL150" i="29"/>
  <c r="Z150" i="29"/>
  <c r="P150" i="29"/>
  <c r="AR149" i="29"/>
  <c r="AL149" i="29"/>
  <c r="Z149" i="29"/>
  <c r="P149" i="29"/>
  <c r="AR148" i="29"/>
  <c r="AL148" i="29"/>
  <c r="Z148" i="29"/>
  <c r="P148" i="29"/>
  <c r="AR147" i="29"/>
  <c r="AL147" i="29"/>
  <c r="Z147" i="29"/>
  <c r="P147" i="29"/>
  <c r="AS146" i="29"/>
  <c r="AR146" i="29"/>
  <c r="AL146" i="29"/>
  <c r="Z146" i="29"/>
  <c r="P146" i="29"/>
  <c r="AK145" i="29"/>
  <c r="AJ145" i="29"/>
  <c r="AI145" i="29"/>
  <c r="AH145" i="29"/>
  <c r="AG145" i="29"/>
  <c r="AF145" i="29"/>
  <c r="AD145" i="29"/>
  <c r="Y145" i="29"/>
  <c r="X145" i="29"/>
  <c r="W145" i="29"/>
  <c r="U145" i="29"/>
  <c r="T145" i="29"/>
  <c r="S145" i="29"/>
  <c r="R145" i="29"/>
  <c r="Q145" i="29"/>
  <c r="AR144" i="29"/>
  <c r="AL144" i="29"/>
  <c r="Z144" i="29"/>
  <c r="P144" i="29"/>
  <c r="AR143" i="29"/>
  <c r="AL143" i="29"/>
  <c r="AL159" i="29" s="1"/>
  <c r="Z143" i="29"/>
  <c r="P143" i="29"/>
  <c r="AR142" i="29"/>
  <c r="AL142" i="29"/>
  <c r="Z142" i="29"/>
  <c r="P142" i="29"/>
  <c r="AK141" i="29"/>
  <c r="AJ141" i="29"/>
  <c r="AI141" i="29"/>
  <c r="AH141" i="29"/>
  <c r="AG141" i="29"/>
  <c r="AF141" i="29"/>
  <c r="AD141" i="29"/>
  <c r="Y141" i="29"/>
  <c r="X141" i="29"/>
  <c r="W141" i="29"/>
  <c r="U141" i="29"/>
  <c r="T141" i="29"/>
  <c r="S141" i="29"/>
  <c r="R141" i="29"/>
  <c r="Q141" i="29"/>
  <c r="AR140" i="29"/>
  <c r="AL140" i="29"/>
  <c r="Z140" i="29"/>
  <c r="P140" i="29"/>
  <c r="AR139" i="29"/>
  <c r="AL139" i="29"/>
  <c r="Z139" i="29"/>
  <c r="P139" i="29"/>
  <c r="AK138" i="29"/>
  <c r="AJ138" i="29"/>
  <c r="AI138" i="29"/>
  <c r="AH138" i="29"/>
  <c r="AG138" i="29"/>
  <c r="AF138" i="29"/>
  <c r="AD138" i="29"/>
  <c r="Y138" i="29"/>
  <c r="X138" i="29"/>
  <c r="W138" i="29"/>
  <c r="U138" i="29"/>
  <c r="T138" i="29"/>
  <c r="S138" i="29"/>
  <c r="R138" i="29"/>
  <c r="Q138" i="29"/>
  <c r="AR137" i="29"/>
  <c r="AL137" i="29"/>
  <c r="Z137" i="29"/>
  <c r="P137" i="29"/>
  <c r="AR136" i="29"/>
  <c r="AL136" i="29"/>
  <c r="Z136" i="29"/>
  <c r="P136" i="29"/>
  <c r="AR135" i="29"/>
  <c r="AL135" i="29"/>
  <c r="Z135" i="29"/>
  <c r="P135" i="29"/>
  <c r="AR134" i="29"/>
  <c r="AL134" i="29"/>
  <c r="Z134" i="29"/>
  <c r="P134" i="29"/>
  <c r="AK133" i="29"/>
  <c r="AJ133" i="29"/>
  <c r="AI133" i="29"/>
  <c r="AH133" i="29"/>
  <c r="AG133" i="29"/>
  <c r="AF133" i="29"/>
  <c r="AD133" i="29"/>
  <c r="Y133" i="29"/>
  <c r="X133" i="29"/>
  <c r="W133" i="29"/>
  <c r="U133" i="29"/>
  <c r="T133" i="29"/>
  <c r="S133" i="29"/>
  <c r="R133" i="29"/>
  <c r="Q133" i="29"/>
  <c r="AR132" i="29"/>
  <c r="AL132" i="29"/>
  <c r="Z132" i="29"/>
  <c r="P132" i="29"/>
  <c r="AR131" i="29"/>
  <c r="AL131" i="29"/>
  <c r="Z131" i="29"/>
  <c r="P131" i="29"/>
  <c r="AK130" i="29"/>
  <c r="AJ130" i="29"/>
  <c r="AI130" i="29"/>
  <c r="AH130" i="29"/>
  <c r="AG130" i="29"/>
  <c r="AF130" i="29"/>
  <c r="AD130" i="29"/>
  <c r="Y130" i="29"/>
  <c r="X130" i="29"/>
  <c r="W130" i="29"/>
  <c r="U130" i="29"/>
  <c r="T130" i="29"/>
  <c r="S130" i="29"/>
  <c r="R130" i="29"/>
  <c r="Q130" i="29"/>
  <c r="AR129" i="29"/>
  <c r="AL129" i="29"/>
  <c r="Z129" i="29"/>
  <c r="P129" i="29"/>
  <c r="AR128" i="29"/>
  <c r="AL128" i="29"/>
  <c r="Z128" i="29"/>
  <c r="P128" i="29"/>
  <c r="AR127" i="29"/>
  <c r="AL127" i="29"/>
  <c r="Z127" i="29"/>
  <c r="P127" i="29"/>
  <c r="AK126" i="29"/>
  <c r="AJ126" i="29"/>
  <c r="AI126" i="29"/>
  <c r="AH126" i="29"/>
  <c r="AG126" i="29"/>
  <c r="AF126" i="29"/>
  <c r="AD126" i="29"/>
  <c r="Y126" i="29"/>
  <c r="X126" i="29"/>
  <c r="W126" i="29"/>
  <c r="U126" i="29"/>
  <c r="T126" i="29"/>
  <c r="S126" i="29"/>
  <c r="R126" i="29"/>
  <c r="Q126" i="29"/>
  <c r="AR125" i="29"/>
  <c r="AL125" i="29"/>
  <c r="Z125" i="29"/>
  <c r="P125" i="29"/>
  <c r="AR124" i="29"/>
  <c r="AL124" i="29"/>
  <c r="Z124" i="29"/>
  <c r="P124" i="29"/>
  <c r="AK123" i="29"/>
  <c r="AJ123" i="29"/>
  <c r="AI123" i="29"/>
  <c r="AH123" i="29"/>
  <c r="AG123" i="29"/>
  <c r="AF123" i="29"/>
  <c r="AD123" i="29"/>
  <c r="Y123" i="29"/>
  <c r="X123" i="29"/>
  <c r="W123" i="29"/>
  <c r="U123" i="29"/>
  <c r="T123" i="29"/>
  <c r="S123" i="29"/>
  <c r="R123" i="29"/>
  <c r="Q123" i="29"/>
  <c r="AR122" i="29"/>
  <c r="AL122" i="29"/>
  <c r="Z122" i="29"/>
  <c r="P122" i="29"/>
  <c r="AR121" i="29"/>
  <c r="AL121" i="29"/>
  <c r="Z121" i="29"/>
  <c r="P121" i="29"/>
  <c r="AR120" i="29"/>
  <c r="AL120" i="29"/>
  <c r="Z120" i="29"/>
  <c r="P120" i="29"/>
  <c r="AR119" i="29"/>
  <c r="AL119" i="29"/>
  <c r="Z119" i="29"/>
  <c r="P119" i="29"/>
  <c r="AR118" i="29"/>
  <c r="AL118" i="29"/>
  <c r="AK118" i="29"/>
  <c r="AJ118" i="29"/>
  <c r="AI118" i="29"/>
  <c r="AH118" i="29"/>
  <c r="AG118" i="29"/>
  <c r="AF118" i="29"/>
  <c r="AD118" i="29"/>
  <c r="Z118" i="29"/>
  <c r="Y118" i="29"/>
  <c r="X118" i="29"/>
  <c r="W118" i="29"/>
  <c r="U118" i="29"/>
  <c r="T118" i="29"/>
  <c r="S118" i="29"/>
  <c r="R118" i="29"/>
  <c r="Q118" i="29"/>
  <c r="P118" i="29"/>
  <c r="AR117" i="29"/>
  <c r="AL117" i="29"/>
  <c r="Z117" i="29"/>
  <c r="P117" i="29"/>
  <c r="AR116" i="29"/>
  <c r="AL116" i="29"/>
  <c r="Z116" i="29"/>
  <c r="P116" i="29"/>
  <c r="AR115" i="29"/>
  <c r="AL115" i="29"/>
  <c r="Z115" i="29"/>
  <c r="P115" i="29"/>
  <c r="AR114" i="29"/>
  <c r="AL114" i="29"/>
  <c r="Z114" i="29"/>
  <c r="P114" i="29"/>
  <c r="AR113" i="29"/>
  <c r="AL113" i="29"/>
  <c r="Z113" i="29"/>
  <c r="P113" i="29"/>
  <c r="AK112" i="29"/>
  <c r="AJ112" i="29"/>
  <c r="AI112" i="29"/>
  <c r="AH112" i="29"/>
  <c r="AG112" i="29"/>
  <c r="AF112" i="29"/>
  <c r="AD112" i="29"/>
  <c r="Y112" i="29"/>
  <c r="X112" i="29"/>
  <c r="W112" i="29"/>
  <c r="U112" i="29"/>
  <c r="T112" i="29"/>
  <c r="S112" i="29"/>
  <c r="R112" i="29"/>
  <c r="Q112" i="29"/>
  <c r="AR111" i="29"/>
  <c r="AL111" i="29"/>
  <c r="Z111" i="29"/>
  <c r="P111" i="29"/>
  <c r="AK110" i="29"/>
  <c r="AJ110" i="29"/>
  <c r="AI110" i="29"/>
  <c r="AH110" i="29"/>
  <c r="AG110" i="29"/>
  <c r="AF110" i="29"/>
  <c r="AD110" i="29"/>
  <c r="Y110" i="29"/>
  <c r="X110" i="29"/>
  <c r="W110" i="29"/>
  <c r="U110" i="29"/>
  <c r="T110" i="29"/>
  <c r="S110" i="29"/>
  <c r="R110" i="29"/>
  <c r="Q110" i="29"/>
  <c r="AR109" i="29"/>
  <c r="AL109" i="29"/>
  <c r="Z109" i="29"/>
  <c r="P109" i="29"/>
  <c r="AR108" i="29"/>
  <c r="AL108" i="29"/>
  <c r="Z108" i="29"/>
  <c r="P108" i="29"/>
  <c r="AR107" i="29"/>
  <c r="AL107" i="29"/>
  <c r="Z107" i="29"/>
  <c r="P107" i="29"/>
  <c r="AR106" i="29"/>
  <c r="AL106" i="29"/>
  <c r="Z106" i="29"/>
  <c r="P106" i="29"/>
  <c r="AK105" i="29"/>
  <c r="AJ105" i="29"/>
  <c r="AI105" i="29"/>
  <c r="AH105" i="29"/>
  <c r="AG105" i="29"/>
  <c r="AF105" i="29"/>
  <c r="AD105" i="29"/>
  <c r="Y105" i="29"/>
  <c r="X105" i="29"/>
  <c r="W105" i="29"/>
  <c r="U105" i="29"/>
  <c r="T105" i="29"/>
  <c r="S105" i="29"/>
  <c r="R105" i="29"/>
  <c r="Q105" i="29"/>
  <c r="AR104" i="29"/>
  <c r="AL104" i="29"/>
  <c r="Z104" i="29"/>
  <c r="P104" i="29"/>
  <c r="AR103" i="29"/>
  <c r="AL103" i="29"/>
  <c r="Z103" i="29"/>
  <c r="P103" i="29"/>
  <c r="AR102" i="29"/>
  <c r="AL102" i="29"/>
  <c r="Z102" i="29"/>
  <c r="P102" i="29"/>
  <c r="AK101" i="29"/>
  <c r="AJ101" i="29"/>
  <c r="AI101" i="29"/>
  <c r="AH101" i="29"/>
  <c r="AF101" i="29"/>
  <c r="AD101" i="29"/>
  <c r="Y101" i="29"/>
  <c r="X101" i="29"/>
  <c r="W101" i="29"/>
  <c r="U101" i="29"/>
  <c r="T101" i="29"/>
  <c r="S101" i="29"/>
  <c r="R101" i="29"/>
  <c r="AR100" i="29"/>
  <c r="AL100" i="29"/>
  <c r="Z100" i="29"/>
  <c r="P100" i="29"/>
  <c r="AR99" i="29"/>
  <c r="Z99" i="29"/>
  <c r="P99" i="29"/>
  <c r="AR98" i="29"/>
  <c r="AL98" i="29"/>
  <c r="Z98" i="29"/>
  <c r="P98" i="29"/>
  <c r="AR97" i="29"/>
  <c r="AL97" i="29"/>
  <c r="Z97" i="29"/>
  <c r="P97" i="29"/>
  <c r="AK96" i="29"/>
  <c r="AJ96" i="29"/>
  <c r="AI96" i="29"/>
  <c r="AH96" i="29"/>
  <c r="AG96" i="29"/>
  <c r="AF96" i="29"/>
  <c r="AD96" i="29"/>
  <c r="Y96" i="29"/>
  <c r="X96" i="29"/>
  <c r="W96" i="29"/>
  <c r="U96" i="29"/>
  <c r="T96" i="29"/>
  <c r="S96" i="29"/>
  <c r="R96" i="29"/>
  <c r="Q96" i="29"/>
  <c r="AR95" i="29"/>
  <c r="AL95" i="29"/>
  <c r="Z95" i="29"/>
  <c r="P95" i="29"/>
  <c r="AR94" i="29"/>
  <c r="AL94" i="29"/>
  <c r="Z94" i="29"/>
  <c r="P94" i="29"/>
  <c r="AR93" i="29"/>
  <c r="AL93" i="29"/>
  <c r="Z93" i="29"/>
  <c r="P93" i="29"/>
  <c r="AR92" i="29"/>
  <c r="AL92" i="29"/>
  <c r="Z92" i="29"/>
  <c r="P92" i="29"/>
  <c r="AK91" i="29"/>
  <c r="AJ91" i="29"/>
  <c r="AI91" i="29"/>
  <c r="AH91" i="29"/>
  <c r="AF91" i="29"/>
  <c r="AD91" i="29"/>
  <c r="Y91" i="29"/>
  <c r="X91" i="29"/>
  <c r="W91" i="29"/>
  <c r="U91" i="29"/>
  <c r="T91" i="29"/>
  <c r="S91" i="29"/>
  <c r="R91" i="29"/>
  <c r="AR90" i="29"/>
  <c r="AL90" i="29"/>
  <c r="Z90" i="29"/>
  <c r="P90" i="29"/>
  <c r="AR89" i="29"/>
  <c r="Z89" i="29"/>
  <c r="P89" i="29"/>
  <c r="AR88" i="29"/>
  <c r="AL88" i="29"/>
  <c r="Z88" i="29"/>
  <c r="P88" i="29"/>
  <c r="AR87" i="29"/>
  <c r="AO87" i="29"/>
  <c r="AL87" i="29"/>
  <c r="Z87" i="29"/>
  <c r="P87" i="29"/>
  <c r="AK86" i="29"/>
  <c r="AJ86" i="29"/>
  <c r="AI86" i="29"/>
  <c r="AH86" i="29"/>
  <c r="AF86" i="29"/>
  <c r="AD86" i="29"/>
  <c r="Y86" i="29"/>
  <c r="X86" i="29"/>
  <c r="W86" i="29"/>
  <c r="U86" i="29"/>
  <c r="T86" i="29"/>
  <c r="S86" i="29"/>
  <c r="R86" i="29"/>
  <c r="AR85" i="29"/>
  <c r="AL85" i="29"/>
  <c r="Z85" i="29"/>
  <c r="P85" i="29"/>
  <c r="AR84" i="29"/>
  <c r="Z84" i="29"/>
  <c r="P84" i="29"/>
  <c r="AR83" i="29"/>
  <c r="AL83" i="29"/>
  <c r="Z83" i="29"/>
  <c r="P83" i="29"/>
  <c r="AR82" i="29"/>
  <c r="AL82" i="29"/>
  <c r="Z82" i="29"/>
  <c r="P82" i="29"/>
  <c r="AK81" i="29"/>
  <c r="AJ81" i="29"/>
  <c r="AI81" i="29"/>
  <c r="AH81" i="29"/>
  <c r="AF81" i="29"/>
  <c r="AD81" i="29"/>
  <c r="Y81" i="29"/>
  <c r="X81" i="29"/>
  <c r="W81" i="29"/>
  <c r="U81" i="29"/>
  <c r="T81" i="29"/>
  <c r="S81" i="29"/>
  <c r="R81" i="29"/>
  <c r="AR80" i="29"/>
  <c r="AL80" i="29"/>
  <c r="Z80" i="29"/>
  <c r="P80" i="29"/>
  <c r="AR79" i="29"/>
  <c r="Z79" i="29"/>
  <c r="P79" i="29"/>
  <c r="AR78" i="29"/>
  <c r="AL78" i="29"/>
  <c r="Z78" i="29"/>
  <c r="P78" i="29"/>
  <c r="AR77" i="29"/>
  <c r="AL77" i="29"/>
  <c r="Z77" i="29"/>
  <c r="P77" i="29"/>
  <c r="AK76" i="29"/>
  <c r="AJ76" i="29"/>
  <c r="AI76" i="29"/>
  <c r="AH76" i="29"/>
  <c r="AF76" i="29"/>
  <c r="AD76" i="29"/>
  <c r="Y76" i="29"/>
  <c r="X76" i="29"/>
  <c r="W76" i="29"/>
  <c r="U76" i="29"/>
  <c r="T76" i="29"/>
  <c r="S76" i="29"/>
  <c r="R76" i="29"/>
  <c r="AR75" i="29"/>
  <c r="AL75" i="29"/>
  <c r="Z75" i="29"/>
  <c r="P75" i="29"/>
  <c r="AR74" i="29"/>
  <c r="Z74" i="29"/>
  <c r="P74" i="29"/>
  <c r="AR73" i="29"/>
  <c r="AL73" i="29"/>
  <c r="Z73" i="29"/>
  <c r="P73" i="29"/>
  <c r="AR72" i="29"/>
  <c r="AL72" i="29"/>
  <c r="Z72" i="29"/>
  <c r="P72" i="29"/>
  <c r="AK71" i="29"/>
  <c r="AJ71" i="29"/>
  <c r="AI71" i="29"/>
  <c r="AH71" i="29"/>
  <c r="AG71" i="29"/>
  <c r="AF71" i="29"/>
  <c r="AD71" i="29"/>
  <c r="Y71" i="29"/>
  <c r="X71" i="29"/>
  <c r="W71" i="29"/>
  <c r="U71" i="29"/>
  <c r="T71" i="29"/>
  <c r="S71" i="29"/>
  <c r="R71" i="29"/>
  <c r="Q71" i="29"/>
  <c r="AR70" i="29"/>
  <c r="AL70" i="29"/>
  <c r="Z70" i="29"/>
  <c r="P70" i="29"/>
  <c r="AR69" i="29"/>
  <c r="AL69" i="29"/>
  <c r="Z69" i="29"/>
  <c r="P69" i="29"/>
  <c r="AR68" i="29"/>
  <c r="AL68" i="29"/>
  <c r="Z68" i="29"/>
  <c r="P68" i="29"/>
  <c r="AR67" i="29"/>
  <c r="AL67" i="29"/>
  <c r="Z67" i="29"/>
  <c r="P67" i="29"/>
  <c r="AK66" i="29"/>
  <c r="AJ66" i="29"/>
  <c r="AI66" i="29"/>
  <c r="AH66" i="29"/>
  <c r="AG66" i="29"/>
  <c r="AF66" i="29"/>
  <c r="AD66" i="29"/>
  <c r="Y66" i="29"/>
  <c r="X66" i="29"/>
  <c r="W66" i="29"/>
  <c r="U66" i="29"/>
  <c r="T66" i="29"/>
  <c r="S66" i="29"/>
  <c r="R66" i="29"/>
  <c r="Q66" i="29"/>
  <c r="AR65" i="29"/>
  <c r="AL65" i="29"/>
  <c r="Z65" i="29"/>
  <c r="P65" i="29"/>
  <c r="AK64" i="29"/>
  <c r="AJ64" i="29"/>
  <c r="AI64" i="29"/>
  <c r="AH64" i="29"/>
  <c r="AG64" i="29"/>
  <c r="AF64" i="29"/>
  <c r="AD64" i="29"/>
  <c r="Y64" i="29"/>
  <c r="X64" i="29"/>
  <c r="W64" i="29"/>
  <c r="U64" i="29"/>
  <c r="T64" i="29"/>
  <c r="S64" i="29"/>
  <c r="R64" i="29"/>
  <c r="Q64" i="29"/>
  <c r="AR63" i="29"/>
  <c r="AL63" i="29"/>
  <c r="Z63" i="29"/>
  <c r="P63" i="29"/>
  <c r="AR62" i="29"/>
  <c r="AL62" i="29"/>
  <c r="Z62" i="29"/>
  <c r="P62" i="29"/>
  <c r="AR61" i="29"/>
  <c r="AL61" i="29"/>
  <c r="Z61" i="29"/>
  <c r="P61" i="29"/>
  <c r="AK60" i="29"/>
  <c r="AJ60" i="29"/>
  <c r="AI60" i="29"/>
  <c r="AH60" i="29"/>
  <c r="AG60" i="29"/>
  <c r="AF60" i="29"/>
  <c r="AD60" i="29"/>
  <c r="Y60" i="29"/>
  <c r="X60" i="29"/>
  <c r="W60" i="29"/>
  <c r="U60" i="29"/>
  <c r="T60" i="29"/>
  <c r="S60" i="29"/>
  <c r="R60" i="29"/>
  <c r="Q60" i="29"/>
  <c r="AR59" i="29"/>
  <c r="AL59" i="29"/>
  <c r="Z59" i="29"/>
  <c r="P59" i="29"/>
  <c r="AR58" i="29"/>
  <c r="AL58" i="29"/>
  <c r="Z58" i="29"/>
  <c r="P58" i="29"/>
  <c r="AR57" i="29"/>
  <c r="AK57" i="29"/>
  <c r="AJ57" i="29"/>
  <c r="AI57" i="29"/>
  <c r="AH57" i="29"/>
  <c r="AG57" i="29"/>
  <c r="AF57" i="29"/>
  <c r="AD57" i="29"/>
  <c r="Y57" i="29"/>
  <c r="X57" i="29"/>
  <c r="W57" i="29"/>
  <c r="U57" i="29"/>
  <c r="T57" i="29"/>
  <c r="S57" i="29"/>
  <c r="R57" i="29"/>
  <c r="Q57" i="29"/>
  <c r="AR56" i="29"/>
  <c r="AL56" i="29"/>
  <c r="Z56" i="29"/>
  <c r="P56" i="29"/>
  <c r="AR55" i="29"/>
  <c r="AL55" i="29"/>
  <c r="Z55" i="29"/>
  <c r="P55" i="29"/>
  <c r="AK54" i="29"/>
  <c r="AJ54" i="29"/>
  <c r="AI54" i="29"/>
  <c r="AH54" i="29"/>
  <c r="AG54" i="29"/>
  <c r="AF54" i="29"/>
  <c r="AD54" i="29"/>
  <c r="Y54" i="29"/>
  <c r="X54" i="29"/>
  <c r="W54" i="29"/>
  <c r="U54" i="29"/>
  <c r="T54" i="29"/>
  <c r="S54" i="29"/>
  <c r="R54" i="29"/>
  <c r="Q54" i="29"/>
  <c r="AR53" i="29"/>
  <c r="AL53" i="29"/>
  <c r="Z53" i="29"/>
  <c r="P53" i="29"/>
  <c r="AR52" i="29"/>
  <c r="AL52" i="29"/>
  <c r="Z52" i="29"/>
  <c r="P52" i="29"/>
  <c r="AK51" i="29"/>
  <c r="AJ51" i="29"/>
  <c r="AI51" i="29"/>
  <c r="AH51" i="29"/>
  <c r="AG51" i="29"/>
  <c r="AF51" i="29"/>
  <c r="AD51" i="29"/>
  <c r="Y51" i="29"/>
  <c r="X51" i="29"/>
  <c r="W51" i="29"/>
  <c r="U51" i="29"/>
  <c r="T51" i="29"/>
  <c r="S51" i="29"/>
  <c r="R51" i="29"/>
  <c r="Q51" i="29"/>
  <c r="AR50" i="29"/>
  <c r="AL50" i="29"/>
  <c r="Z50" i="29"/>
  <c r="P50" i="29"/>
  <c r="AR49" i="29"/>
  <c r="AL49" i="29"/>
  <c r="Z49" i="29"/>
  <c r="P49" i="29"/>
  <c r="AK48" i="29"/>
  <c r="AJ48" i="29"/>
  <c r="AI48" i="29"/>
  <c r="AH48" i="29"/>
  <c r="AG48" i="29"/>
  <c r="AF48" i="29"/>
  <c r="AD48" i="29"/>
  <c r="Y48" i="29"/>
  <c r="X48" i="29"/>
  <c r="W48" i="29"/>
  <c r="U48" i="29"/>
  <c r="T48" i="29"/>
  <c r="S48" i="29"/>
  <c r="R48" i="29"/>
  <c r="Q48" i="29"/>
  <c r="AR47" i="29"/>
  <c r="AL47" i="29"/>
  <c r="Z47" i="29"/>
  <c r="P47" i="29"/>
  <c r="AR46" i="29"/>
  <c r="AL46" i="29"/>
  <c r="Z46" i="29"/>
  <c r="P46" i="29"/>
  <c r="AK45" i="29"/>
  <c r="AJ45" i="29"/>
  <c r="AI45" i="29"/>
  <c r="AH45" i="29"/>
  <c r="AG45" i="29"/>
  <c r="AF45" i="29"/>
  <c r="AD45" i="29"/>
  <c r="Y45" i="29"/>
  <c r="X45" i="29"/>
  <c r="W45" i="29"/>
  <c r="U45" i="29"/>
  <c r="T45" i="29"/>
  <c r="S45" i="29"/>
  <c r="R45" i="29"/>
  <c r="Q45" i="29"/>
  <c r="AR44" i="29"/>
  <c r="AL44" i="29"/>
  <c r="Z44" i="29"/>
  <c r="P44" i="29"/>
  <c r="AR43" i="29"/>
  <c r="AL43" i="29"/>
  <c r="Z43" i="29"/>
  <c r="P43" i="29"/>
  <c r="AK42" i="29"/>
  <c r="AJ42" i="29"/>
  <c r="AI42" i="29"/>
  <c r="AH42" i="29"/>
  <c r="AG42" i="29"/>
  <c r="AF42" i="29"/>
  <c r="AD42" i="29"/>
  <c r="Y42" i="29"/>
  <c r="X42" i="29"/>
  <c r="W42" i="29"/>
  <c r="U42" i="29"/>
  <c r="T42" i="29"/>
  <c r="S42" i="29"/>
  <c r="R42" i="29"/>
  <c r="Q42" i="29"/>
  <c r="AR41" i="29"/>
  <c r="AL41" i="29"/>
  <c r="Z41" i="29"/>
  <c r="P41" i="29"/>
  <c r="AR40" i="29"/>
  <c r="AL40" i="29"/>
  <c r="Z40" i="29"/>
  <c r="P40" i="29"/>
  <c r="AK39" i="29"/>
  <c r="AJ39" i="29"/>
  <c r="AI39" i="29"/>
  <c r="AH39" i="29"/>
  <c r="AG39" i="29"/>
  <c r="AF39" i="29"/>
  <c r="AD39" i="29"/>
  <c r="Y39" i="29"/>
  <c r="X39" i="29"/>
  <c r="W39" i="29"/>
  <c r="U39" i="29"/>
  <c r="T39" i="29"/>
  <c r="S39" i="29"/>
  <c r="R39" i="29"/>
  <c r="Q39" i="29"/>
  <c r="AR38" i="29"/>
  <c r="AL38" i="29"/>
  <c r="Z38" i="29"/>
  <c r="P38" i="29"/>
  <c r="AR37" i="29"/>
  <c r="AL37" i="29"/>
  <c r="Z37" i="29"/>
  <c r="P37" i="29"/>
  <c r="AK36" i="29"/>
  <c r="AJ36" i="29"/>
  <c r="AI36" i="29"/>
  <c r="AH36" i="29"/>
  <c r="AG36" i="29"/>
  <c r="AF36" i="29"/>
  <c r="AD36" i="29"/>
  <c r="Y36" i="29"/>
  <c r="X36" i="29"/>
  <c r="W36" i="29"/>
  <c r="U36" i="29"/>
  <c r="T36" i="29"/>
  <c r="S36" i="29"/>
  <c r="R36" i="29"/>
  <c r="Q36" i="29"/>
  <c r="AR35" i="29"/>
  <c r="AL35" i="29"/>
  <c r="Z35" i="29"/>
  <c r="P35" i="29"/>
  <c r="AR34" i="29"/>
  <c r="AL34" i="29"/>
  <c r="Z34" i="29"/>
  <c r="P34" i="29"/>
  <c r="AK33" i="29"/>
  <c r="AJ33" i="29"/>
  <c r="AI33" i="29"/>
  <c r="AH33" i="29"/>
  <c r="AG33" i="29"/>
  <c r="AF33" i="29"/>
  <c r="AD33" i="29"/>
  <c r="Y33" i="29"/>
  <c r="X33" i="29"/>
  <c r="W33" i="29"/>
  <c r="U33" i="29"/>
  <c r="T33" i="29"/>
  <c r="S33" i="29"/>
  <c r="R33" i="29"/>
  <c r="Q33" i="29"/>
  <c r="AR32" i="29"/>
  <c r="AL32" i="29"/>
  <c r="Z32" i="29"/>
  <c r="P32" i="29"/>
  <c r="AR31" i="29"/>
  <c r="AL31" i="29"/>
  <c r="Z31" i="29"/>
  <c r="P31" i="29"/>
  <c r="AR30" i="29"/>
  <c r="AL30" i="29"/>
  <c r="AK30" i="29"/>
  <c r="AJ30" i="29"/>
  <c r="AI30" i="29"/>
  <c r="AH30" i="29"/>
  <c r="AG30" i="29"/>
  <c r="AF30" i="29"/>
  <c r="AD30" i="29"/>
  <c r="Y30" i="29"/>
  <c r="X30" i="29"/>
  <c r="W30" i="29"/>
  <c r="U30" i="29"/>
  <c r="T30" i="29"/>
  <c r="S30" i="29"/>
  <c r="R30" i="29"/>
  <c r="Q30" i="29"/>
  <c r="AR29" i="29"/>
  <c r="AL29" i="29"/>
  <c r="Z29" i="29"/>
  <c r="P29" i="29"/>
  <c r="AR28" i="29"/>
  <c r="AL28" i="29"/>
  <c r="Z28" i="29"/>
  <c r="P28" i="29"/>
  <c r="AK27" i="29"/>
  <c r="AJ27" i="29"/>
  <c r="AI27" i="29"/>
  <c r="AH27" i="29"/>
  <c r="AG27" i="29"/>
  <c r="AF27" i="29"/>
  <c r="AD27" i="29"/>
  <c r="Y27" i="29"/>
  <c r="X27" i="29"/>
  <c r="W27" i="29"/>
  <c r="U27" i="29"/>
  <c r="T27" i="29"/>
  <c r="S27" i="29"/>
  <c r="R27" i="29"/>
  <c r="Q27" i="29"/>
  <c r="AR26" i="29"/>
  <c r="AL26" i="29"/>
  <c r="Z26" i="29"/>
  <c r="P26" i="29"/>
  <c r="AK25" i="29"/>
  <c r="AJ25" i="29"/>
  <c r="AI25" i="29"/>
  <c r="AH25" i="29"/>
  <c r="AG25" i="29"/>
  <c r="AF25" i="29"/>
  <c r="AD25" i="29"/>
  <c r="Y25" i="29"/>
  <c r="X25" i="29"/>
  <c r="W25" i="29"/>
  <c r="U25" i="29"/>
  <c r="T25" i="29"/>
  <c r="S25" i="29"/>
  <c r="R25" i="29"/>
  <c r="Q25" i="29"/>
  <c r="AR24" i="29"/>
  <c r="AL24" i="29"/>
  <c r="Z24" i="29"/>
  <c r="P24" i="29"/>
  <c r="AR23" i="29"/>
  <c r="AL23" i="29"/>
  <c r="Z23" i="29"/>
  <c r="P23" i="29"/>
  <c r="AK22" i="29"/>
  <c r="AJ22" i="29"/>
  <c r="AI22" i="29"/>
  <c r="AH22" i="29"/>
  <c r="AG22" i="29"/>
  <c r="AF22" i="29"/>
  <c r="AD22" i="29"/>
  <c r="Y22" i="29"/>
  <c r="X22" i="29"/>
  <c r="W22" i="29"/>
  <c r="U22" i="29"/>
  <c r="T22" i="29"/>
  <c r="S22" i="29"/>
  <c r="R22" i="29"/>
  <c r="Q22" i="29"/>
  <c r="AR21" i="29"/>
  <c r="AL21" i="29"/>
  <c r="Z21" i="29"/>
  <c r="P21" i="29"/>
  <c r="AR20" i="29"/>
  <c r="AL20" i="29"/>
  <c r="Z20" i="29"/>
  <c r="P20" i="29"/>
  <c r="AK19" i="29"/>
  <c r="AJ19" i="29"/>
  <c r="AI19" i="29"/>
  <c r="AH19" i="29"/>
  <c r="AG19" i="29"/>
  <c r="AF19" i="29"/>
  <c r="AD19" i="29"/>
  <c r="Y19" i="29"/>
  <c r="X19" i="29"/>
  <c r="W19" i="29"/>
  <c r="U19" i="29"/>
  <c r="T19" i="29"/>
  <c r="S19" i="29"/>
  <c r="R19" i="29"/>
  <c r="Q19" i="29"/>
  <c r="AR18" i="29"/>
  <c r="AL18" i="29"/>
  <c r="Z18" i="29"/>
  <c r="P18" i="29"/>
  <c r="AR17" i="29"/>
  <c r="AL17" i="29"/>
  <c r="Z17" i="29"/>
  <c r="P17" i="29"/>
  <c r="AK16" i="29"/>
  <c r="AJ16" i="29"/>
  <c r="AI16" i="29"/>
  <c r="AH16" i="29"/>
  <c r="AG16" i="29"/>
  <c r="AF16" i="29"/>
  <c r="AD16" i="29"/>
  <c r="Y16" i="29"/>
  <c r="X16" i="29"/>
  <c r="W16" i="29"/>
  <c r="U16" i="29"/>
  <c r="T16" i="29"/>
  <c r="S16" i="29"/>
  <c r="R16" i="29"/>
  <c r="Q16" i="29"/>
  <c r="AR15" i="29"/>
  <c r="AL15" i="29"/>
  <c r="Z15" i="29"/>
  <c r="P15" i="29"/>
  <c r="AR14" i="29"/>
  <c r="AL14" i="29"/>
  <c r="Z14" i="29"/>
  <c r="P14" i="29"/>
  <c r="AK13" i="29"/>
  <c r="AJ13" i="29"/>
  <c r="AI13" i="29"/>
  <c r="AH13" i="29"/>
  <c r="AG13" i="29"/>
  <c r="AF13" i="29"/>
  <c r="AD13" i="29"/>
  <c r="Y13" i="29"/>
  <c r="X13" i="29"/>
  <c r="W13" i="29"/>
  <c r="U13" i="29"/>
  <c r="T13" i="29"/>
  <c r="S13" i="29"/>
  <c r="R13" i="29"/>
  <c r="Q13" i="29"/>
  <c r="AR12" i="29"/>
  <c r="AL12" i="29"/>
  <c r="Z12" i="29"/>
  <c r="P12" i="29"/>
  <c r="W102" i="44"/>
  <c r="W97" i="44"/>
  <c r="W89" i="44"/>
  <c r="W87" i="44"/>
  <c r="W81" i="44"/>
  <c r="W79" i="44"/>
  <c r="W76" i="44"/>
  <c r="W71" i="44"/>
  <c r="W68" i="44"/>
  <c r="W65" i="44"/>
  <c r="W60" i="44"/>
  <c r="W55" i="44"/>
  <c r="W49" i="44"/>
  <c r="W44" i="44"/>
  <c r="W39" i="44"/>
  <c r="W34" i="44"/>
  <c r="W29" i="44"/>
  <c r="W24" i="44"/>
  <c r="W16" i="44"/>
  <c r="AF102" i="44"/>
  <c r="AF97" i="44"/>
  <c r="AF89" i="44"/>
  <c r="AF87" i="44"/>
  <c r="AF81" i="44"/>
  <c r="AF79" i="44"/>
  <c r="AF76" i="44"/>
  <c r="AF71" i="44"/>
  <c r="AF68" i="44"/>
  <c r="AF65" i="44"/>
  <c r="AF60" i="44"/>
  <c r="AF55" i="44"/>
  <c r="AF49" i="44"/>
  <c r="AF44" i="44"/>
  <c r="AF39" i="44"/>
  <c r="AF34" i="44"/>
  <c r="AF29" i="44"/>
  <c r="AF24" i="44"/>
  <c r="AF16" i="44"/>
  <c r="AR169" i="48"/>
  <c r="AL169" i="48"/>
  <c r="AS169" i="48" s="1"/>
  <c r="Z169" i="48"/>
  <c r="AO169" i="48" s="1"/>
  <c r="P169" i="48"/>
  <c r="V169" i="48" s="1"/>
  <c r="K107" i="44"/>
  <c r="K108" i="44"/>
  <c r="K109" i="44"/>
  <c r="K110" i="44"/>
  <c r="K111" i="44"/>
  <c r="K112" i="44"/>
  <c r="K113" i="44"/>
  <c r="K114" i="44"/>
  <c r="K115" i="44"/>
  <c r="K116" i="44"/>
  <c r="K103" i="44"/>
  <c r="K371" i="48"/>
  <c r="K372" i="48"/>
  <c r="K373" i="48"/>
  <c r="K374" i="48"/>
  <c r="K375" i="48"/>
  <c r="K376" i="48"/>
  <c r="K377" i="48"/>
  <c r="K378" i="48"/>
  <c r="K379" i="48"/>
  <c r="K380" i="48"/>
  <c r="K367" i="48"/>
  <c r="Z154" i="42" l="1"/>
  <c r="J155" i="42"/>
  <c r="S155" i="42"/>
  <c r="P158" i="42"/>
  <c r="Y155" i="42"/>
  <c r="Z158" i="42"/>
  <c r="AD155" i="42"/>
  <c r="AI155" i="42"/>
  <c r="N155" i="42"/>
  <c r="I155" i="42"/>
  <c r="R155" i="42"/>
  <c r="AF155" i="42"/>
  <c r="U155" i="42"/>
  <c r="AJ155" i="42"/>
  <c r="O155" i="42"/>
  <c r="AH111" i="41"/>
  <c r="M111" i="41"/>
  <c r="W111" i="41"/>
  <c r="I111" i="41"/>
  <c r="R111" i="41"/>
  <c r="S111" i="41"/>
  <c r="L111" i="41"/>
  <c r="I110" i="41" s="1"/>
  <c r="AD111" i="41"/>
  <c r="AI111" i="41"/>
  <c r="K133" i="40"/>
  <c r="I132" i="40" s="1"/>
  <c r="U133" i="40"/>
  <c r="N133" i="40"/>
  <c r="X133" i="40"/>
  <c r="AK133" i="40"/>
  <c r="AD133" i="40"/>
  <c r="AL85" i="40"/>
  <c r="O133" i="40"/>
  <c r="Y133" i="40"/>
  <c r="Z132" i="40" s="1"/>
  <c r="AH133" i="40"/>
  <c r="M133" i="40"/>
  <c r="W133" i="40"/>
  <c r="I133" i="40"/>
  <c r="U100" i="39"/>
  <c r="M100" i="39"/>
  <c r="W100" i="39"/>
  <c r="P99" i="39" s="1"/>
  <c r="AJ100" i="39"/>
  <c r="O100" i="39"/>
  <c r="R100" i="39"/>
  <c r="X100" i="39"/>
  <c r="AK100" i="39"/>
  <c r="J100" i="39"/>
  <c r="P103" i="39"/>
  <c r="AD100" i="39"/>
  <c r="K100" i="39"/>
  <c r="T100" i="39"/>
  <c r="L100" i="39"/>
  <c r="S100" i="39"/>
  <c r="AI100" i="39"/>
  <c r="I154" i="42"/>
  <c r="P154" i="42"/>
  <c r="Z110" i="41"/>
  <c r="P110" i="41"/>
  <c r="P132" i="40"/>
  <c r="I99" i="39"/>
  <c r="R61" i="31"/>
  <c r="AG111" i="41"/>
  <c r="AL110" i="41" s="1"/>
  <c r="Q111" i="41"/>
  <c r="AG133" i="40"/>
  <c r="AL132" i="40" s="1"/>
  <c r="Q133" i="40"/>
  <c r="AG100" i="39"/>
  <c r="Q100" i="39"/>
  <c r="D13" i="47"/>
  <c r="D27" i="47"/>
  <c r="D28" i="47"/>
  <c r="D29" i="47"/>
  <c r="D30" i="47"/>
  <c r="D31" i="47"/>
  <c r="D32" i="47"/>
  <c r="D33" i="47"/>
  <c r="D34" i="47"/>
  <c r="D35" i="47"/>
  <c r="D36" i="47"/>
  <c r="D14" i="47"/>
  <c r="Y100" i="39"/>
  <c r="Z99" i="39" s="1"/>
  <c r="Q61" i="31"/>
  <c r="AG83" i="30"/>
  <c r="AL82" i="30" s="1"/>
  <c r="AL156" i="29"/>
  <c r="AG155" i="29"/>
  <c r="AL154" i="29" s="1"/>
  <c r="Q83" i="30"/>
  <c r="Q155" i="29"/>
  <c r="AH100" i="39"/>
  <c r="AR165" i="42"/>
  <c r="Z165" i="42"/>
  <c r="Z164" i="42"/>
  <c r="AR163" i="42"/>
  <c r="AL163" i="42"/>
  <c r="Z163" i="42"/>
  <c r="P163" i="42"/>
  <c r="AR159" i="42"/>
  <c r="P159" i="42"/>
  <c r="AR157" i="42"/>
  <c r="AG157" i="42"/>
  <c r="AG155" i="42" s="1"/>
  <c r="Z157" i="42"/>
  <c r="P157" i="42"/>
  <c r="AI152" i="42"/>
  <c r="AB22" i="47" s="1"/>
  <c r="X152" i="42"/>
  <c r="Q22" i="47" s="1"/>
  <c r="T152" i="42"/>
  <c r="M22" i="47" s="1"/>
  <c r="R152" i="42"/>
  <c r="K22" i="47" s="1"/>
  <c r="AR151" i="42"/>
  <c r="AL151" i="42"/>
  <c r="AO144" i="42"/>
  <c r="AR142" i="42"/>
  <c r="Z142" i="42"/>
  <c r="AS141" i="42"/>
  <c r="V141" i="42"/>
  <c r="V135" i="42"/>
  <c r="AS132" i="42"/>
  <c r="AS130" i="42"/>
  <c r="AS128" i="42"/>
  <c r="V127" i="42"/>
  <c r="AA125" i="42"/>
  <c r="AN124" i="42"/>
  <c r="AC124" i="42"/>
  <c r="AQ124" i="42" s="1"/>
  <c r="V123" i="42"/>
  <c r="Z120" i="42"/>
  <c r="AS118" i="42"/>
  <c r="AO118" i="42"/>
  <c r="AO117" i="42"/>
  <c r="AL116" i="42"/>
  <c r="P116" i="42"/>
  <c r="Z114" i="42"/>
  <c r="AO110" i="42"/>
  <c r="V107" i="42"/>
  <c r="AL106" i="42"/>
  <c r="AS105" i="42"/>
  <c r="V101" i="42"/>
  <c r="AO100" i="42"/>
  <c r="V97" i="42"/>
  <c r="AL96" i="42"/>
  <c r="P96" i="42"/>
  <c r="V95" i="42"/>
  <c r="AA94" i="42"/>
  <c r="AO93" i="42"/>
  <c r="V93" i="42"/>
  <c r="AR92" i="42"/>
  <c r="AS90" i="42"/>
  <c r="AG89" i="42"/>
  <c r="AG152" i="42" s="1"/>
  <c r="Z22" i="47" s="1"/>
  <c r="P89" i="42"/>
  <c r="AL87" i="42"/>
  <c r="AS87" i="42" s="1"/>
  <c r="AA86" i="42"/>
  <c r="V85" i="42"/>
  <c r="AR84" i="42"/>
  <c r="AL84" i="42"/>
  <c r="Z84" i="42"/>
  <c r="P84" i="42"/>
  <c r="AS83" i="42"/>
  <c r="AO83" i="42"/>
  <c r="V83" i="42"/>
  <c r="AS82" i="42"/>
  <c r="AO82" i="42"/>
  <c r="V82" i="42"/>
  <c r="AS81" i="42"/>
  <c r="AO81" i="42"/>
  <c r="V81" i="42"/>
  <c r="AR80" i="42"/>
  <c r="AL80" i="42"/>
  <c r="Z80" i="42"/>
  <c r="P80" i="42"/>
  <c r="AS79" i="42"/>
  <c r="AO79" i="42"/>
  <c r="V79" i="42"/>
  <c r="AS78" i="42"/>
  <c r="AS80" i="42" s="1"/>
  <c r="AO78" i="42"/>
  <c r="V78" i="42"/>
  <c r="AR77" i="42"/>
  <c r="AL77" i="42"/>
  <c r="Z77" i="42"/>
  <c r="P77" i="42"/>
  <c r="AS76" i="42"/>
  <c r="AO76" i="42"/>
  <c r="V76" i="42"/>
  <c r="AS75" i="42"/>
  <c r="AO75" i="42"/>
  <c r="V75" i="42"/>
  <c r="AS74" i="42"/>
  <c r="AO74" i="42"/>
  <c r="V74" i="42"/>
  <c r="AS73" i="42"/>
  <c r="AO73" i="42"/>
  <c r="V73" i="42"/>
  <c r="AR72" i="42"/>
  <c r="AL72" i="42"/>
  <c r="Z72" i="42"/>
  <c r="P72" i="42"/>
  <c r="AS71" i="42"/>
  <c r="AO71" i="42"/>
  <c r="V71" i="42"/>
  <c r="AS70" i="42"/>
  <c r="AO70" i="42"/>
  <c r="V70" i="42"/>
  <c r="AR69" i="42"/>
  <c r="AL69" i="42"/>
  <c r="Z69" i="42"/>
  <c r="P69" i="42"/>
  <c r="AS68" i="42"/>
  <c r="AO68" i="42"/>
  <c r="V68" i="42"/>
  <c r="AS67" i="42"/>
  <c r="AO67" i="42"/>
  <c r="V67" i="42"/>
  <c r="AS66" i="42"/>
  <c r="AO66" i="42"/>
  <c r="V66" i="42"/>
  <c r="AS65" i="42"/>
  <c r="AO65" i="42"/>
  <c r="V65" i="42"/>
  <c r="AR64" i="42"/>
  <c r="AL64" i="42"/>
  <c r="Z64" i="42"/>
  <c r="P64" i="42"/>
  <c r="AS63" i="42"/>
  <c r="AO63" i="42"/>
  <c r="V63" i="42"/>
  <c r="AR62" i="42"/>
  <c r="AL62" i="42"/>
  <c r="Z62" i="42"/>
  <c r="P62" i="42"/>
  <c r="AS61" i="42"/>
  <c r="AO61" i="42"/>
  <c r="V61" i="42"/>
  <c r="AS60" i="42"/>
  <c r="AO60" i="42"/>
  <c r="V60" i="42"/>
  <c r="AS59" i="42"/>
  <c r="AO59" i="42"/>
  <c r="V59" i="42"/>
  <c r="AS58" i="42"/>
  <c r="AO58" i="42"/>
  <c r="V58" i="42"/>
  <c r="AS57" i="42"/>
  <c r="AO57" i="42"/>
  <c r="V57" i="42"/>
  <c r="AR56" i="42"/>
  <c r="AL56" i="42"/>
  <c r="Z56" i="42"/>
  <c r="P56" i="42"/>
  <c r="AS55" i="42"/>
  <c r="AO55" i="42"/>
  <c r="V55" i="42"/>
  <c r="AS54" i="42"/>
  <c r="AO54" i="42"/>
  <c r="V54" i="42"/>
  <c r="AS53" i="42"/>
  <c r="AO53" i="42"/>
  <c r="V53" i="42"/>
  <c r="AR52" i="42"/>
  <c r="AL52" i="42"/>
  <c r="Z52" i="42"/>
  <c r="P52" i="42"/>
  <c r="AS51" i="42"/>
  <c r="AO51" i="42"/>
  <c r="V51" i="42"/>
  <c r="AS50" i="42"/>
  <c r="AO50" i="42"/>
  <c r="V50" i="42"/>
  <c r="AS49" i="42"/>
  <c r="AO49" i="42"/>
  <c r="V49" i="42"/>
  <c r="AR48" i="42"/>
  <c r="AL48" i="42"/>
  <c r="Z48" i="42"/>
  <c r="P48" i="42"/>
  <c r="AS47" i="42"/>
  <c r="AO47" i="42"/>
  <c r="V47" i="42"/>
  <c r="AS46" i="42"/>
  <c r="AO46" i="42"/>
  <c r="V46" i="42"/>
  <c r="AS45" i="42"/>
  <c r="AO45" i="42"/>
  <c r="V45" i="42"/>
  <c r="AS44" i="42"/>
  <c r="AO44" i="42"/>
  <c r="V44" i="42"/>
  <c r="AR43" i="42"/>
  <c r="AL43" i="42"/>
  <c r="Z43" i="42"/>
  <c r="P43" i="42"/>
  <c r="AS42" i="42"/>
  <c r="AO42" i="42"/>
  <c r="V42" i="42"/>
  <c r="AS41" i="42"/>
  <c r="AO41" i="42"/>
  <c r="V41" i="42"/>
  <c r="AS40" i="42"/>
  <c r="AO40" i="42"/>
  <c r="V40" i="42"/>
  <c r="AS39" i="42"/>
  <c r="AO39" i="42"/>
  <c r="V39" i="42"/>
  <c r="AR38" i="42"/>
  <c r="AL38" i="42"/>
  <c r="Z38" i="42"/>
  <c r="P38" i="42"/>
  <c r="AS37" i="42"/>
  <c r="AO37" i="42"/>
  <c r="V37" i="42"/>
  <c r="AR36" i="42"/>
  <c r="AL36" i="42"/>
  <c r="Z36" i="42"/>
  <c r="P36" i="42"/>
  <c r="AS35" i="42"/>
  <c r="AO35" i="42"/>
  <c r="V35" i="42"/>
  <c r="AS34" i="42"/>
  <c r="AS36" i="42" s="1"/>
  <c r="AO34" i="42"/>
  <c r="AO36" i="42" s="1"/>
  <c r="V34" i="42"/>
  <c r="AR33" i="42"/>
  <c r="AL33" i="42"/>
  <c r="Z33" i="42"/>
  <c r="P33" i="42"/>
  <c r="AS32" i="42"/>
  <c r="AS33" i="42" s="1"/>
  <c r="AO32" i="42"/>
  <c r="AO33" i="42" s="1"/>
  <c r="V32" i="42"/>
  <c r="AR31" i="42"/>
  <c r="AL31" i="42"/>
  <c r="Z31" i="42"/>
  <c r="P31" i="42"/>
  <c r="AS30" i="42"/>
  <c r="AO30" i="42"/>
  <c r="V30" i="42"/>
  <c r="AS29" i="42"/>
  <c r="AS31" i="42" s="1"/>
  <c r="AO29" i="42"/>
  <c r="V29" i="42"/>
  <c r="AR28" i="42"/>
  <c r="AL28" i="42"/>
  <c r="Z28" i="42"/>
  <c r="P28" i="42"/>
  <c r="AS27" i="42"/>
  <c r="AO27" i="42"/>
  <c r="V27" i="42"/>
  <c r="AS26" i="42"/>
  <c r="AO26" i="42"/>
  <c r="V26" i="42"/>
  <c r="AR25" i="42"/>
  <c r="AL25" i="42"/>
  <c r="Z25" i="42"/>
  <c r="P25" i="42"/>
  <c r="AS24" i="42"/>
  <c r="AO24" i="42"/>
  <c r="V24" i="42"/>
  <c r="AS23" i="42"/>
  <c r="AO23" i="42"/>
  <c r="V23" i="42"/>
  <c r="AR22" i="42"/>
  <c r="AL22" i="42"/>
  <c r="Z22" i="42"/>
  <c r="P22" i="42"/>
  <c r="AS21" i="42"/>
  <c r="AO21" i="42"/>
  <c r="V21" i="42"/>
  <c r="AS20" i="42"/>
  <c r="AO20" i="42"/>
  <c r="AO22" i="42" s="1"/>
  <c r="V20" i="42"/>
  <c r="AR19" i="42"/>
  <c r="AL19" i="42"/>
  <c r="Z19" i="42"/>
  <c r="P19" i="42"/>
  <c r="AS18" i="42"/>
  <c r="AO18" i="42"/>
  <c r="V18" i="42"/>
  <c r="AS17" i="42"/>
  <c r="AO17" i="42"/>
  <c r="V17" i="42"/>
  <c r="AS16" i="42"/>
  <c r="AO16" i="42"/>
  <c r="V16" i="42"/>
  <c r="AS15" i="42"/>
  <c r="AO15" i="42"/>
  <c r="V15" i="42"/>
  <c r="AS14" i="42"/>
  <c r="AO14" i="42"/>
  <c r="V14" i="42"/>
  <c r="AS13" i="42"/>
  <c r="AO13" i="42"/>
  <c r="V13" i="42"/>
  <c r="AS12" i="42"/>
  <c r="AO12" i="42"/>
  <c r="V12" i="42"/>
  <c r="Z156" i="42"/>
  <c r="P156" i="42"/>
  <c r="AJ152" i="42"/>
  <c r="AC22" i="47" s="1"/>
  <c r="AF152" i="42"/>
  <c r="Y22" i="47" s="1"/>
  <c r="W152" i="42"/>
  <c r="P22" i="47" s="1"/>
  <c r="AS150" i="42"/>
  <c r="AO150" i="42"/>
  <c r="V150" i="42"/>
  <c r="AO149" i="42"/>
  <c r="V148" i="42"/>
  <c r="Z146" i="42"/>
  <c r="AO143" i="42"/>
  <c r="V143" i="42"/>
  <c r="Z138" i="42"/>
  <c r="AO135" i="42"/>
  <c r="AR133" i="42"/>
  <c r="AS131" i="42"/>
  <c r="V131" i="42"/>
  <c r="V130" i="42"/>
  <c r="AL129" i="42"/>
  <c r="P129" i="42"/>
  <c r="AS127" i="42"/>
  <c r="AL126" i="42"/>
  <c r="P126" i="42"/>
  <c r="AN125" i="42"/>
  <c r="AB125" i="42"/>
  <c r="AP125" i="42" s="1"/>
  <c r="AR116" i="42"/>
  <c r="AS115" i="42"/>
  <c r="AS116" i="42" s="1"/>
  <c r="AO115" i="42"/>
  <c r="AO116" i="42" s="1"/>
  <c r="AR114" i="42"/>
  <c r="V113" i="42"/>
  <c r="V111" i="42"/>
  <c r="Z109" i="42"/>
  <c r="AS107" i="42"/>
  <c r="AO107" i="42"/>
  <c r="V105" i="42"/>
  <c r="V104" i="42"/>
  <c r="Z103" i="42"/>
  <c r="V102" i="42"/>
  <c r="AS100" i="42"/>
  <c r="AR99" i="42"/>
  <c r="Z99" i="42"/>
  <c r="V98" i="42"/>
  <c r="Z96" i="42"/>
  <c r="AS95" i="42"/>
  <c r="AO95" i="42"/>
  <c r="AO94" i="42"/>
  <c r="P92" i="42"/>
  <c r="V91" i="42"/>
  <c r="AR89" i="42"/>
  <c r="AS88" i="42"/>
  <c r="AO88" i="42"/>
  <c r="V87" i="42"/>
  <c r="AN86" i="42"/>
  <c r="AL164" i="42"/>
  <c r="P164" i="42"/>
  <c r="Q157" i="42"/>
  <c r="Q155" i="42" s="1"/>
  <c r="AL156" i="42"/>
  <c r="I153" i="42"/>
  <c r="AK152" i="42"/>
  <c r="AD22" i="47" s="1"/>
  <c r="AH152" i="42"/>
  <c r="AA22" i="47" s="1"/>
  <c r="Y152" i="42"/>
  <c r="R22" i="47" s="1"/>
  <c r="U152" i="42"/>
  <c r="N22" i="47" s="1"/>
  <c r="P151" i="42"/>
  <c r="AS149" i="42"/>
  <c r="V147" i="42"/>
  <c r="AL146" i="42"/>
  <c r="P146" i="42"/>
  <c r="AS144" i="42"/>
  <c r="V144" i="42"/>
  <c r="AS140" i="42"/>
  <c r="AS139" i="42"/>
  <c r="AO139" i="42"/>
  <c r="V137" i="42"/>
  <c r="AO134" i="42"/>
  <c r="V134" i="42"/>
  <c r="Z133" i="42"/>
  <c r="P133" i="42"/>
  <c r="Z129" i="42"/>
  <c r="AR126" i="42"/>
  <c r="AO124" i="42"/>
  <c r="AA124" i="42"/>
  <c r="AS123" i="42"/>
  <c r="AO123" i="42"/>
  <c r="AR122" i="42"/>
  <c r="AL122" i="42"/>
  <c r="P122" i="42"/>
  <c r="AR120" i="42"/>
  <c r="AS119" i="42"/>
  <c r="AO119" i="42"/>
  <c r="V119" i="42"/>
  <c r="V118" i="42"/>
  <c r="AL114" i="42"/>
  <c r="AS113" i="42"/>
  <c r="AO112" i="42"/>
  <c r="V112" i="42"/>
  <c r="AL109" i="42"/>
  <c r="AS108" i="42"/>
  <c r="V108" i="42"/>
  <c r="AL103" i="42"/>
  <c r="AS102" i="42"/>
  <c r="V100" i="42"/>
  <c r="P99" i="42"/>
  <c r="AR96" i="42"/>
  <c r="AC94" i="42"/>
  <c r="AQ94" i="42" s="1"/>
  <c r="AS86" i="42"/>
  <c r="AC86" i="42"/>
  <c r="AQ86" i="42" s="1"/>
  <c r="AS85" i="42"/>
  <c r="AR164" i="42"/>
  <c r="AL159" i="42"/>
  <c r="Z159" i="42"/>
  <c r="AD152" i="42"/>
  <c r="W22" i="47" s="1"/>
  <c r="S152" i="42"/>
  <c r="L22" i="47" s="1"/>
  <c r="V149" i="42"/>
  <c r="AS145" i="42"/>
  <c r="AO145" i="42"/>
  <c r="AS143" i="42"/>
  <c r="AO140" i="42"/>
  <c r="AR138" i="42"/>
  <c r="AL138" i="42"/>
  <c r="AS137" i="42"/>
  <c r="AS136" i="42"/>
  <c r="V136" i="42"/>
  <c r="AS134" i="42"/>
  <c r="AL133" i="42"/>
  <c r="AO131" i="42"/>
  <c r="AO128" i="42"/>
  <c r="V128" i="42"/>
  <c r="Z126" i="42"/>
  <c r="AS125" i="42"/>
  <c r="AO125" i="42"/>
  <c r="AC125" i="42"/>
  <c r="AQ125" i="42" s="1"/>
  <c r="AS124" i="42"/>
  <c r="AS121" i="42"/>
  <c r="AS122" i="42" s="1"/>
  <c r="AO121" i="42"/>
  <c r="AO122" i="42" s="1"/>
  <c r="AL120" i="42"/>
  <c r="AO113" i="42"/>
  <c r="AS111" i="42"/>
  <c r="AO111" i="42"/>
  <c r="AS110" i="42"/>
  <c r="V110" i="42"/>
  <c r="P109" i="42"/>
  <c r="AO108" i="42"/>
  <c r="AR106" i="42"/>
  <c r="Z106" i="42"/>
  <c r="P103" i="42"/>
  <c r="AO102" i="42"/>
  <c r="AL99" i="42"/>
  <c r="AS98" i="42"/>
  <c r="AO98" i="42"/>
  <c r="AS97" i="42"/>
  <c r="AS99" i="42" s="1"/>
  <c r="AO97" i="42"/>
  <c r="AN94" i="42"/>
  <c r="AB94" i="42"/>
  <c r="AP94" i="42" s="1"/>
  <c r="AS93" i="42"/>
  <c r="V90" i="42"/>
  <c r="Z89" i="42"/>
  <c r="Q89" i="42"/>
  <c r="AO86" i="42"/>
  <c r="AB86" i="42"/>
  <c r="AP86" i="42" s="1"/>
  <c r="AL165" i="42"/>
  <c r="P165" i="42"/>
  <c r="AR156" i="42"/>
  <c r="Z151" i="42"/>
  <c r="AS148" i="42"/>
  <c r="AO148" i="42"/>
  <c r="AS147" i="42"/>
  <c r="AO147" i="42"/>
  <c r="AR146" i="42"/>
  <c r="V145" i="42"/>
  <c r="AL142" i="42"/>
  <c r="P142" i="42"/>
  <c r="AO141" i="42"/>
  <c r="V140" i="42"/>
  <c r="V139" i="42"/>
  <c r="P138" i="42"/>
  <c r="AO137" i="42"/>
  <c r="AO136" i="42"/>
  <c r="AS135" i="42"/>
  <c r="V132" i="42"/>
  <c r="AO130" i="42"/>
  <c r="AR129" i="42"/>
  <c r="AO127" i="42"/>
  <c r="AO129" i="42" s="1"/>
  <c r="AB124" i="42"/>
  <c r="AP124" i="42" s="1"/>
  <c r="Z122" i="42"/>
  <c r="V121" i="42"/>
  <c r="P120" i="42"/>
  <c r="AS117" i="42"/>
  <c r="V117" i="42"/>
  <c r="Z116" i="42"/>
  <c r="V115" i="42"/>
  <c r="P114" i="42"/>
  <c r="AS112" i="42"/>
  <c r="AR109" i="42"/>
  <c r="P106" i="42"/>
  <c r="AO105" i="42"/>
  <c r="AS104" i="42"/>
  <c r="AO104" i="42"/>
  <c r="AO106" i="42" s="1"/>
  <c r="AR103" i="42"/>
  <c r="AS101" i="42"/>
  <c r="AO101" i="42"/>
  <c r="AS94" i="42"/>
  <c r="AL92" i="42"/>
  <c r="Z92" i="42"/>
  <c r="AS91" i="42"/>
  <c r="AO91" i="42"/>
  <c r="AO90" i="42"/>
  <c r="AO92" i="42" s="1"/>
  <c r="V88" i="42"/>
  <c r="AO87" i="42"/>
  <c r="AR121" i="41"/>
  <c r="Z121" i="41"/>
  <c r="P121" i="41"/>
  <c r="AL119" i="41"/>
  <c r="AL115" i="41"/>
  <c r="AI108" i="41"/>
  <c r="AB21" i="47" s="1"/>
  <c r="X108" i="41"/>
  <c r="Q21" i="47" s="1"/>
  <c r="R108" i="41"/>
  <c r="K21" i="47" s="1"/>
  <c r="AO106" i="41"/>
  <c r="AO105" i="41"/>
  <c r="V105" i="41"/>
  <c r="AA104" i="41"/>
  <c r="AS100" i="41"/>
  <c r="AS99" i="41"/>
  <c r="AO99" i="41"/>
  <c r="V99" i="41"/>
  <c r="AO96" i="41"/>
  <c r="AL95" i="41"/>
  <c r="AA94" i="41"/>
  <c r="AS93" i="41"/>
  <c r="V91" i="41"/>
  <c r="AS90" i="41"/>
  <c r="AO90" i="41"/>
  <c r="AC90" i="41"/>
  <c r="AQ90" i="41" s="1"/>
  <c r="AA90" i="41"/>
  <c r="AL88" i="41"/>
  <c r="AO86" i="41"/>
  <c r="AN85" i="41"/>
  <c r="P83" i="41"/>
  <c r="AO81" i="41"/>
  <c r="AS80" i="41"/>
  <c r="AO80" i="41"/>
  <c r="V78" i="41"/>
  <c r="AR77" i="41"/>
  <c r="Z77" i="41"/>
  <c r="AS76" i="41"/>
  <c r="AO75" i="41"/>
  <c r="V72" i="41"/>
  <c r="AO71" i="41"/>
  <c r="V71" i="41"/>
  <c r="AL70" i="41"/>
  <c r="AS69" i="41"/>
  <c r="AO68" i="41"/>
  <c r="V66" i="41"/>
  <c r="AS65" i="41"/>
  <c r="V65" i="41"/>
  <c r="V63" i="41"/>
  <c r="AS61" i="41"/>
  <c r="V60" i="41"/>
  <c r="P59" i="41"/>
  <c r="AO58" i="41"/>
  <c r="AS55" i="41"/>
  <c r="V55" i="41"/>
  <c r="AR54" i="41"/>
  <c r="AL54" i="41"/>
  <c r="Z54" i="41"/>
  <c r="P54" i="41"/>
  <c r="AS53" i="41"/>
  <c r="AO53" i="41"/>
  <c r="V53" i="41"/>
  <c r="AS52" i="41"/>
  <c r="AO52" i="41"/>
  <c r="V52" i="41"/>
  <c r="AR51" i="41"/>
  <c r="AL51" i="41"/>
  <c r="Z51" i="41"/>
  <c r="P51" i="41"/>
  <c r="AS50" i="41"/>
  <c r="AS51" i="41" s="1"/>
  <c r="AO50" i="41"/>
  <c r="AO51" i="41" s="1"/>
  <c r="V50" i="41"/>
  <c r="AR49" i="41"/>
  <c r="AL49" i="41"/>
  <c r="Z49" i="41"/>
  <c r="P49" i="41"/>
  <c r="AS48" i="41"/>
  <c r="AO48" i="41"/>
  <c r="V48" i="41"/>
  <c r="AS47" i="41"/>
  <c r="AO47" i="41"/>
  <c r="V47" i="41"/>
  <c r="AS46" i="41"/>
  <c r="AO46" i="41"/>
  <c r="V46" i="41"/>
  <c r="AS45" i="41"/>
  <c r="AO45" i="41"/>
  <c r="V45" i="41"/>
  <c r="AS44" i="41"/>
  <c r="AO44" i="41"/>
  <c r="V44" i="41"/>
  <c r="AR43" i="41"/>
  <c r="AL43" i="41"/>
  <c r="Z43" i="41"/>
  <c r="P43" i="41"/>
  <c r="AS42" i="41"/>
  <c r="AO42" i="41"/>
  <c r="V42" i="41"/>
  <c r="AS41" i="41"/>
  <c r="AO41" i="41"/>
  <c r="V41" i="41"/>
  <c r="AS40" i="41"/>
  <c r="AO40" i="41"/>
  <c r="V40" i="41"/>
  <c r="AS39" i="41"/>
  <c r="AO39" i="41"/>
  <c r="V39" i="41"/>
  <c r="AR38" i="41"/>
  <c r="AL38" i="41"/>
  <c r="Z38" i="41"/>
  <c r="P38" i="41"/>
  <c r="AS37" i="41"/>
  <c r="AO37" i="41"/>
  <c r="V37" i="41"/>
  <c r="AS36" i="41"/>
  <c r="AO36" i="41"/>
  <c r="V36" i="41"/>
  <c r="AS35" i="41"/>
  <c r="AO35" i="41"/>
  <c r="V35" i="41"/>
  <c r="AS34" i="41"/>
  <c r="AO34" i="41"/>
  <c r="V34" i="41"/>
  <c r="AR33" i="41"/>
  <c r="AL33" i="41"/>
  <c r="Z33" i="41"/>
  <c r="P33" i="41"/>
  <c r="AS32" i="41"/>
  <c r="AO32" i="41"/>
  <c r="V32" i="41"/>
  <c r="AS31" i="41"/>
  <c r="AO31" i="41"/>
  <c r="V31" i="41"/>
  <c r="AS30" i="41"/>
  <c r="AO30" i="41"/>
  <c r="V30" i="41"/>
  <c r="AS29" i="41"/>
  <c r="AO29" i="41"/>
  <c r="V29" i="41"/>
  <c r="AR28" i="41"/>
  <c r="AL28" i="41"/>
  <c r="Z28" i="41"/>
  <c r="P28" i="41"/>
  <c r="AS27" i="41"/>
  <c r="AO27" i="41"/>
  <c r="V27" i="41"/>
  <c r="AR26" i="41"/>
  <c r="AL26" i="41"/>
  <c r="Z26" i="41"/>
  <c r="P26" i="41"/>
  <c r="AS25" i="41"/>
  <c r="AO25" i="41"/>
  <c r="V25" i="41"/>
  <c r="AS24" i="41"/>
  <c r="AO24" i="41"/>
  <c r="V24" i="41"/>
  <c r="AS23" i="41"/>
  <c r="AO23" i="41"/>
  <c r="V23" i="41"/>
  <c r="AS22" i="41"/>
  <c r="AO22" i="41"/>
  <c r="V22" i="41"/>
  <c r="AS21" i="41"/>
  <c r="AO21" i="41"/>
  <c r="V21" i="41"/>
  <c r="AR20" i="41"/>
  <c r="AG20" i="41"/>
  <c r="AG108" i="41" s="1"/>
  <c r="Z21" i="47" s="1"/>
  <c r="Z20" i="41"/>
  <c r="Q20" i="41"/>
  <c r="Q108" i="41" s="1"/>
  <c r="J21" i="47" s="1"/>
  <c r="P20" i="41"/>
  <c r="AS19" i="41"/>
  <c r="AO19" i="41"/>
  <c r="V19" i="41"/>
  <c r="AO18" i="41"/>
  <c r="AL18" i="41"/>
  <c r="V18" i="41"/>
  <c r="AS17" i="41"/>
  <c r="AO17" i="41"/>
  <c r="V17" i="41"/>
  <c r="AS16" i="41"/>
  <c r="AO16" i="41"/>
  <c r="V16" i="41"/>
  <c r="AR15" i="41"/>
  <c r="AL15" i="41"/>
  <c r="Z15" i="41"/>
  <c r="P15" i="41"/>
  <c r="AS14" i="41"/>
  <c r="AO14" i="41"/>
  <c r="V14" i="41"/>
  <c r="AS13" i="41"/>
  <c r="AO13" i="41"/>
  <c r="V13" i="41"/>
  <c r="AS12" i="41"/>
  <c r="AO12" i="41"/>
  <c r="V12" i="41"/>
  <c r="Z115" i="41"/>
  <c r="P115" i="41"/>
  <c r="AR112" i="41"/>
  <c r="AK108" i="41"/>
  <c r="AD21" i="47" s="1"/>
  <c r="AD108" i="41"/>
  <c r="W21" i="47" s="1"/>
  <c r="T108" i="41"/>
  <c r="M21" i="47" s="1"/>
  <c r="Z107" i="41"/>
  <c r="P107" i="41"/>
  <c r="AS104" i="41"/>
  <c r="AO104" i="41"/>
  <c r="AB104" i="41"/>
  <c r="AP104" i="41" s="1"/>
  <c r="AS103" i="41"/>
  <c r="AO103" i="41"/>
  <c r="AO100" i="41"/>
  <c r="V96" i="41"/>
  <c r="AR95" i="41"/>
  <c r="AN94" i="41"/>
  <c r="AC94" i="41"/>
  <c r="AQ94" i="41" s="1"/>
  <c r="V89" i="41"/>
  <c r="AB85" i="41"/>
  <c r="AP85" i="41" s="1"/>
  <c r="AO84" i="41"/>
  <c r="AC84" i="41"/>
  <c r="AA84" i="41"/>
  <c r="AO82" i="41"/>
  <c r="AO121" i="41" s="1"/>
  <c r="AS81" i="41"/>
  <c r="V81" i="41"/>
  <c r="AO78" i="41"/>
  <c r="AS75" i="41"/>
  <c r="V75" i="41"/>
  <c r="AS73" i="41"/>
  <c r="AO73" i="41"/>
  <c r="V73" i="41"/>
  <c r="P70" i="41"/>
  <c r="V69" i="41"/>
  <c r="Z67" i="41"/>
  <c r="P67" i="41"/>
  <c r="AR64" i="41"/>
  <c r="Z59" i="41"/>
  <c r="V58" i="41"/>
  <c r="AO57" i="41"/>
  <c r="AS56" i="41"/>
  <c r="AL121" i="41"/>
  <c r="Z120" i="41"/>
  <c r="AR119" i="41"/>
  <c r="Z113" i="41"/>
  <c r="P113" i="41"/>
  <c r="AH108" i="41"/>
  <c r="AA21" i="47" s="1"/>
  <c r="W108" i="41"/>
  <c r="P21" i="47" s="1"/>
  <c r="AL107" i="41"/>
  <c r="V106" i="41"/>
  <c r="AS105" i="41"/>
  <c r="AR102" i="41"/>
  <c r="V101" i="41"/>
  <c r="Z98" i="41"/>
  <c r="AS97" i="41"/>
  <c r="Z95" i="41"/>
  <c r="AO94" i="41"/>
  <c r="AB94" i="41"/>
  <c r="AP94" i="41" s="1"/>
  <c r="V93" i="41"/>
  <c r="AR88" i="41"/>
  <c r="V86" i="41"/>
  <c r="AC85" i="41"/>
  <c r="AQ85" i="41" s="1"/>
  <c r="V82" i="41"/>
  <c r="AS78" i="41"/>
  <c r="Z74" i="41"/>
  <c r="P74" i="41"/>
  <c r="Z70" i="41"/>
  <c r="AO69" i="41"/>
  <c r="AS68" i="41"/>
  <c r="AR67" i="41"/>
  <c r="AL67" i="41"/>
  <c r="AO65" i="41"/>
  <c r="AL64" i="41"/>
  <c r="Z64" i="41"/>
  <c r="AS62" i="41"/>
  <c r="AO61" i="41"/>
  <c r="AR59" i="41"/>
  <c r="AS58" i="41"/>
  <c r="P120" i="41"/>
  <c r="P119" i="41"/>
  <c r="AR115" i="41"/>
  <c r="AL112" i="41"/>
  <c r="I109" i="41"/>
  <c r="AJ108" i="41"/>
  <c r="AC21" i="47" s="1"/>
  <c r="U108" i="41"/>
  <c r="N21" i="47" s="1"/>
  <c r="AR107" i="41"/>
  <c r="AN104" i="41"/>
  <c r="V103" i="41"/>
  <c r="AL102" i="41"/>
  <c r="P102" i="41"/>
  <c r="AS96" i="41"/>
  <c r="P95" i="41"/>
  <c r="AS92" i="41"/>
  <c r="AO92" i="41"/>
  <c r="AN90" i="41"/>
  <c r="AB90" i="41"/>
  <c r="AP90" i="41" s="1"/>
  <c r="AS89" i="41"/>
  <c r="Z88" i="41"/>
  <c r="P88" i="41"/>
  <c r="AS86" i="41"/>
  <c r="AS85" i="41"/>
  <c r="AB84" i="41"/>
  <c r="AR83" i="41"/>
  <c r="AL83" i="41"/>
  <c r="AS79" i="41"/>
  <c r="AO79" i="41"/>
  <c r="V79" i="41"/>
  <c r="P77" i="41"/>
  <c r="AO76" i="41"/>
  <c r="AR74" i="41"/>
  <c r="AO72" i="41"/>
  <c r="AS71" i="41"/>
  <c r="AR70" i="41"/>
  <c r="AS63" i="41"/>
  <c r="AO63" i="41"/>
  <c r="V62" i="41"/>
  <c r="V61" i="41"/>
  <c r="AL59" i="41"/>
  <c r="AS57" i="41"/>
  <c r="AO56" i="41"/>
  <c r="V56" i="41"/>
  <c r="AR120" i="41"/>
  <c r="AL120" i="41"/>
  <c r="Z119" i="41"/>
  <c r="AR113" i="41"/>
  <c r="Z112" i="41"/>
  <c r="P112" i="41"/>
  <c r="AF108" i="41"/>
  <c r="Y21" i="47" s="1"/>
  <c r="Y108" i="41"/>
  <c r="R21" i="47" s="1"/>
  <c r="S108" i="41"/>
  <c r="L21" i="47" s="1"/>
  <c r="AS106" i="41"/>
  <c r="AC104" i="41"/>
  <c r="AQ104" i="41" s="1"/>
  <c r="Z102" i="41"/>
  <c r="AS101" i="41"/>
  <c r="AO101" i="41"/>
  <c r="V100" i="41"/>
  <c r="AR98" i="41"/>
  <c r="AL98" i="41"/>
  <c r="P98" i="41"/>
  <c r="AO97" i="41"/>
  <c r="V97" i="41"/>
  <c r="AS94" i="41"/>
  <c r="AO93" i="41"/>
  <c r="V92" i="41"/>
  <c r="AS91" i="41"/>
  <c r="AO91" i="41"/>
  <c r="AO89" i="41"/>
  <c r="AS87" i="41"/>
  <c r="AO87" i="41"/>
  <c r="V87" i="41"/>
  <c r="AO85" i="41"/>
  <c r="AA85" i="41"/>
  <c r="AS84" i="41"/>
  <c r="AS88" i="41" s="1"/>
  <c r="AN84" i="41"/>
  <c r="Z83" i="41"/>
  <c r="AS82" i="41"/>
  <c r="AS121" i="41" s="1"/>
  <c r="V80" i="41"/>
  <c r="AL77" i="41"/>
  <c r="V76" i="41"/>
  <c r="AL74" i="41"/>
  <c r="AS72" i="41"/>
  <c r="V68" i="41"/>
  <c r="AS66" i="41"/>
  <c r="AO66" i="41"/>
  <c r="P64" i="41"/>
  <c r="AO62" i="41"/>
  <c r="AS60" i="41"/>
  <c r="AO60" i="41"/>
  <c r="V57" i="41"/>
  <c r="Z141" i="40"/>
  <c r="AL138" i="40"/>
  <c r="AL137" i="40"/>
  <c r="Z137" i="40"/>
  <c r="P137" i="40"/>
  <c r="AR136" i="40"/>
  <c r="P135" i="40"/>
  <c r="AD130" i="40"/>
  <c r="W20" i="47" s="1"/>
  <c r="S130" i="40"/>
  <c r="L20" i="47" s="1"/>
  <c r="Z126" i="40"/>
  <c r="P126" i="40"/>
  <c r="AS123" i="40"/>
  <c r="V123" i="40"/>
  <c r="AL119" i="40"/>
  <c r="AS116" i="40"/>
  <c r="AO115" i="40"/>
  <c r="AL114" i="40"/>
  <c r="AL109" i="40"/>
  <c r="V108" i="40"/>
  <c r="AO107" i="40"/>
  <c r="V107" i="40"/>
  <c r="AS105" i="40"/>
  <c r="AR104" i="40"/>
  <c r="AS103" i="40"/>
  <c r="AO103" i="40"/>
  <c r="AS102" i="40"/>
  <c r="P101" i="40"/>
  <c r="AO99" i="40"/>
  <c r="AR98" i="40"/>
  <c r="AO97" i="40"/>
  <c r="AO96" i="40"/>
  <c r="AS94" i="40"/>
  <c r="AN94" i="40"/>
  <c r="AB94" i="40"/>
  <c r="AL93" i="40"/>
  <c r="Z93" i="40"/>
  <c r="V91" i="40"/>
  <c r="AL90" i="40"/>
  <c r="AS88" i="40"/>
  <c r="V88" i="40"/>
  <c r="AO84" i="40"/>
  <c r="V84" i="40"/>
  <c r="AS83" i="40"/>
  <c r="AO83" i="40"/>
  <c r="V83" i="40"/>
  <c r="AS82" i="40"/>
  <c r="AO82" i="40"/>
  <c r="V82" i="40"/>
  <c r="AR81" i="40"/>
  <c r="AL81" i="40"/>
  <c r="Z81" i="40"/>
  <c r="P81" i="40"/>
  <c r="AS80" i="40"/>
  <c r="AO80" i="40"/>
  <c r="V80" i="40"/>
  <c r="AS79" i="40"/>
  <c r="AO79" i="40"/>
  <c r="AO81" i="40" s="1"/>
  <c r="V79" i="40"/>
  <c r="AR78" i="40"/>
  <c r="AL78" i="40"/>
  <c r="Z78" i="40"/>
  <c r="P78" i="40"/>
  <c r="AS77" i="40"/>
  <c r="AO77" i="40"/>
  <c r="V77" i="40"/>
  <c r="AS76" i="40"/>
  <c r="AO76" i="40"/>
  <c r="V76" i="40"/>
  <c r="AS75" i="40"/>
  <c r="AO75" i="40"/>
  <c r="V75" i="40"/>
  <c r="AR74" i="40"/>
  <c r="AL74" i="40"/>
  <c r="Z74" i="40"/>
  <c r="P74" i="40"/>
  <c r="AS73" i="40"/>
  <c r="AO73" i="40"/>
  <c r="V73" i="40"/>
  <c r="AS72" i="40"/>
  <c r="AO72" i="40"/>
  <c r="V72" i="40"/>
  <c r="AR71" i="40"/>
  <c r="AL71" i="40"/>
  <c r="Z71" i="40"/>
  <c r="P71" i="40"/>
  <c r="AS70" i="40"/>
  <c r="AO70" i="40"/>
  <c r="V70" i="40"/>
  <c r="AS69" i="40"/>
  <c r="AO69" i="40"/>
  <c r="V69" i="40"/>
  <c r="AS68" i="40"/>
  <c r="AO68" i="40"/>
  <c r="V68" i="40"/>
  <c r="AS67" i="40"/>
  <c r="AO67" i="40"/>
  <c r="V67" i="40"/>
  <c r="AR66" i="40"/>
  <c r="AL66" i="40"/>
  <c r="Z66" i="40"/>
  <c r="P66" i="40"/>
  <c r="AS65" i="40"/>
  <c r="AO65" i="40"/>
  <c r="V65" i="40"/>
  <c r="AS64" i="40"/>
  <c r="AO64" i="40"/>
  <c r="V64" i="40"/>
  <c r="AS63" i="40"/>
  <c r="AO63" i="40"/>
  <c r="V63" i="40"/>
  <c r="AS62" i="40"/>
  <c r="AO62" i="40"/>
  <c r="V62" i="40"/>
  <c r="AR61" i="40"/>
  <c r="AL61" i="40"/>
  <c r="Z61" i="40"/>
  <c r="P61" i="40"/>
  <c r="AS60" i="40"/>
  <c r="AO60" i="40"/>
  <c r="V60" i="40"/>
  <c r="AS59" i="40"/>
  <c r="AO59" i="40"/>
  <c r="V59" i="40"/>
  <c r="AS58" i="40"/>
  <c r="AO58" i="40"/>
  <c r="V58" i="40"/>
  <c r="AS57" i="40"/>
  <c r="AO57" i="40"/>
  <c r="V57" i="40"/>
  <c r="AR56" i="40"/>
  <c r="AL56" i="40"/>
  <c r="Z56" i="40"/>
  <c r="P56" i="40"/>
  <c r="AS55" i="40"/>
  <c r="AO55" i="40"/>
  <c r="V55" i="40"/>
  <c r="AS54" i="40"/>
  <c r="AO54" i="40"/>
  <c r="V54" i="40"/>
  <c r="AS53" i="40"/>
  <c r="AO53" i="40"/>
  <c r="V53" i="40"/>
  <c r="AS52" i="40"/>
  <c r="AO52" i="40"/>
  <c r="V52" i="40"/>
  <c r="AR51" i="40"/>
  <c r="AL51" i="40"/>
  <c r="Z51" i="40"/>
  <c r="P51" i="40"/>
  <c r="AS50" i="40"/>
  <c r="AO50" i="40"/>
  <c r="V50" i="40"/>
  <c r="AS49" i="40"/>
  <c r="AO49" i="40"/>
  <c r="V49" i="40"/>
  <c r="AS48" i="40"/>
  <c r="AO48" i="40"/>
  <c r="V48" i="40"/>
  <c r="AS47" i="40"/>
  <c r="AO47" i="40"/>
  <c r="V47" i="40"/>
  <c r="AR46" i="40"/>
  <c r="AL46" i="40"/>
  <c r="Z46" i="40"/>
  <c r="P46" i="40"/>
  <c r="AS45" i="40"/>
  <c r="AO45" i="40"/>
  <c r="V45" i="40"/>
  <c r="AR44" i="40"/>
  <c r="AG44" i="40"/>
  <c r="Z44" i="40"/>
  <c r="Q44" i="40"/>
  <c r="P44" i="40"/>
  <c r="AS43" i="40"/>
  <c r="AO43" i="40"/>
  <c r="V43" i="40"/>
  <c r="AS42" i="40"/>
  <c r="AO42" i="40"/>
  <c r="V42" i="40"/>
  <c r="AO41" i="40"/>
  <c r="AL41" i="40"/>
  <c r="AS41" i="40" s="1"/>
  <c r="V41" i="40"/>
  <c r="AS40" i="40"/>
  <c r="AO40" i="40"/>
  <c r="V40" i="40"/>
  <c r="AS39" i="40"/>
  <c r="AO39" i="40"/>
  <c r="V39" i="40"/>
  <c r="AR38" i="40"/>
  <c r="AG38" i="40"/>
  <c r="Z38" i="40"/>
  <c r="Q38" i="40"/>
  <c r="P38" i="40"/>
  <c r="AS37" i="40"/>
  <c r="AO37" i="40"/>
  <c r="V37" i="40"/>
  <c r="AO36" i="40"/>
  <c r="AL36" i="40"/>
  <c r="AS36" i="40" s="1"/>
  <c r="V36" i="40"/>
  <c r="AS35" i="40"/>
  <c r="AO35" i="40"/>
  <c r="V35" i="40"/>
  <c r="AS34" i="40"/>
  <c r="AO34" i="40"/>
  <c r="V34" i="40"/>
  <c r="AR33" i="40"/>
  <c r="AL33" i="40"/>
  <c r="Z33" i="40"/>
  <c r="P33" i="40"/>
  <c r="AS32" i="40"/>
  <c r="AO32" i="40"/>
  <c r="V32" i="40"/>
  <c r="AS31" i="40"/>
  <c r="AO31" i="40"/>
  <c r="V31" i="40"/>
  <c r="AS30" i="40"/>
  <c r="AO30" i="40"/>
  <c r="V30" i="40"/>
  <c r="AS29" i="40"/>
  <c r="AO29" i="40"/>
  <c r="V29" i="40"/>
  <c r="AR28" i="40"/>
  <c r="AG28" i="40"/>
  <c r="Z28" i="40"/>
  <c r="Q28" i="40"/>
  <c r="P28" i="40"/>
  <c r="AS27" i="40"/>
  <c r="AO27" i="40"/>
  <c r="V27" i="40"/>
  <c r="AS26" i="40"/>
  <c r="AS138" i="40" s="1"/>
  <c r="AO26" i="40"/>
  <c r="AO138" i="40" s="1"/>
  <c r="V26" i="40"/>
  <c r="AO25" i="40"/>
  <c r="AL25" i="40"/>
  <c r="V25" i="40"/>
  <c r="AS24" i="40"/>
  <c r="AO24" i="40"/>
  <c r="V24" i="40"/>
  <c r="AS23" i="40"/>
  <c r="AO23" i="40"/>
  <c r="V23" i="40"/>
  <c r="AR22" i="40"/>
  <c r="AL22" i="40"/>
  <c r="Z22" i="40"/>
  <c r="P22" i="40"/>
  <c r="AS21" i="40"/>
  <c r="AO21" i="40"/>
  <c r="V21" i="40"/>
  <c r="AR20" i="40"/>
  <c r="AL20" i="40"/>
  <c r="Z20" i="40"/>
  <c r="P20" i="40"/>
  <c r="AS19" i="40"/>
  <c r="AO19" i="40"/>
  <c r="V19" i="40"/>
  <c r="AS18" i="40"/>
  <c r="AO18" i="40"/>
  <c r="V18" i="40"/>
  <c r="AR17" i="40"/>
  <c r="AL17" i="40"/>
  <c r="Z17" i="40"/>
  <c r="P17" i="40"/>
  <c r="AS16" i="40"/>
  <c r="AO16" i="40"/>
  <c r="V16" i="40"/>
  <c r="AS15" i="40"/>
  <c r="AO15" i="40"/>
  <c r="AO17" i="40" s="1"/>
  <c r="V15" i="40"/>
  <c r="AR14" i="40"/>
  <c r="AL14" i="40"/>
  <c r="AS13" i="40"/>
  <c r="Z136" i="40"/>
  <c r="P136" i="40"/>
  <c r="AR134" i="40"/>
  <c r="Z134" i="40"/>
  <c r="P134" i="40"/>
  <c r="AI130" i="40"/>
  <c r="AB20" i="47" s="1"/>
  <c r="P129" i="40"/>
  <c r="AS127" i="40"/>
  <c r="AO127" i="40"/>
  <c r="AO124" i="40"/>
  <c r="P122" i="40"/>
  <c r="AO121" i="40"/>
  <c r="AS120" i="40"/>
  <c r="AO120" i="40"/>
  <c r="AS117" i="40"/>
  <c r="AO117" i="40"/>
  <c r="V116" i="40"/>
  <c r="Z114" i="40"/>
  <c r="V110" i="40"/>
  <c r="P109" i="40"/>
  <c r="AO108" i="40"/>
  <c r="AS107" i="40"/>
  <c r="AO105" i="40"/>
  <c r="V105" i="40"/>
  <c r="AL104" i="40"/>
  <c r="AO102" i="40"/>
  <c r="AO104" i="40" s="1"/>
  <c r="AR101" i="40"/>
  <c r="AS100" i="40"/>
  <c r="V100" i="40"/>
  <c r="V96" i="40"/>
  <c r="V95" i="40"/>
  <c r="AO94" i="40"/>
  <c r="AR93" i="40"/>
  <c r="V92" i="40"/>
  <c r="AR90" i="40"/>
  <c r="Z90" i="40"/>
  <c r="P90" i="40"/>
  <c r="AO89" i="40"/>
  <c r="P87" i="40"/>
  <c r="AO86" i="40"/>
  <c r="AO87" i="40" s="1"/>
  <c r="V13" i="40"/>
  <c r="AS12" i="40"/>
  <c r="AO12" i="40"/>
  <c r="V12" i="40"/>
  <c r="P142" i="40"/>
  <c r="Z138" i="40"/>
  <c r="AH130" i="40"/>
  <c r="AA20" i="47" s="1"/>
  <c r="W130" i="40"/>
  <c r="P20" i="47" s="1"/>
  <c r="R130" i="40"/>
  <c r="K20" i="47" s="1"/>
  <c r="Z129" i="40"/>
  <c r="AS128" i="40"/>
  <c r="AO128" i="40"/>
  <c r="V128" i="40"/>
  <c r="AR126" i="40"/>
  <c r="AO123" i="40"/>
  <c r="AR122" i="40"/>
  <c r="Z122" i="40"/>
  <c r="AS121" i="40"/>
  <c r="AR119" i="40"/>
  <c r="AS113" i="40"/>
  <c r="AS112" i="40"/>
  <c r="AS110" i="40"/>
  <c r="Z109" i="40"/>
  <c r="AS108" i="40"/>
  <c r="AO106" i="40"/>
  <c r="V106" i="40"/>
  <c r="V102" i="40"/>
  <c r="AL101" i="40"/>
  <c r="Z101" i="40"/>
  <c r="AO100" i="40"/>
  <c r="Z98" i="40"/>
  <c r="AS96" i="40"/>
  <c r="AO95" i="40"/>
  <c r="AA94" i="40"/>
  <c r="AR87" i="40"/>
  <c r="AS86" i="40"/>
  <c r="AS87" i="40" s="1"/>
  <c r="Z143" i="40"/>
  <c r="AR142" i="40"/>
  <c r="Z142" i="40"/>
  <c r="AR141" i="40"/>
  <c r="P141" i="40"/>
  <c r="AR138" i="40"/>
  <c r="AL136" i="40"/>
  <c r="AR135" i="40"/>
  <c r="AL134" i="40"/>
  <c r="AR131" i="40"/>
  <c r="I131" i="40"/>
  <c r="AJ130" i="40"/>
  <c r="AC20" i="47" s="1"/>
  <c r="X130" i="40"/>
  <c r="Q20" i="47" s="1"/>
  <c r="T130" i="40"/>
  <c r="M20" i="47" s="1"/>
  <c r="AL129" i="40"/>
  <c r="V127" i="40"/>
  <c r="AS125" i="40"/>
  <c r="V121" i="40"/>
  <c r="V120" i="40"/>
  <c r="Z119" i="40"/>
  <c r="P119" i="40"/>
  <c r="V118" i="40"/>
  <c r="AO116" i="40"/>
  <c r="AO113" i="40"/>
  <c r="V111" i="40"/>
  <c r="AR109" i="40"/>
  <c r="AS106" i="40"/>
  <c r="V103" i="40"/>
  <c r="AS99" i="40"/>
  <c r="V99" i="40"/>
  <c r="AL98" i="40"/>
  <c r="AS97" i="40"/>
  <c r="AC94" i="40"/>
  <c r="P93" i="40"/>
  <c r="AO92" i="40"/>
  <c r="AS91" i="40"/>
  <c r="AO91" i="40"/>
  <c r="AO93" i="40" s="1"/>
  <c r="AO88" i="40"/>
  <c r="AL87" i="40"/>
  <c r="Z87" i="40"/>
  <c r="AR143" i="40"/>
  <c r="AL143" i="40"/>
  <c r="P143" i="40"/>
  <c r="AL142" i="40"/>
  <c r="AL141" i="40"/>
  <c r="AR137" i="40"/>
  <c r="Z135" i="40"/>
  <c r="AK130" i="40"/>
  <c r="AD20" i="47" s="1"/>
  <c r="AF130" i="40"/>
  <c r="Y20" i="47" s="1"/>
  <c r="Y130" i="40"/>
  <c r="R20" i="47" s="1"/>
  <c r="U130" i="40"/>
  <c r="N20" i="47" s="1"/>
  <c r="AR129" i="40"/>
  <c r="AL126" i="40"/>
  <c r="AO125" i="40"/>
  <c r="V125" i="40"/>
  <c r="AS124" i="40"/>
  <c r="V124" i="40"/>
  <c r="AL122" i="40"/>
  <c r="AS118" i="40"/>
  <c r="AO118" i="40"/>
  <c r="V117" i="40"/>
  <c r="AS115" i="40"/>
  <c r="V115" i="40"/>
  <c r="AR114" i="40"/>
  <c r="P114" i="40"/>
  <c r="V113" i="40"/>
  <c r="AO112" i="40"/>
  <c r="V112" i="40"/>
  <c r="AS111" i="40"/>
  <c r="AO111" i="40"/>
  <c r="AO110" i="40"/>
  <c r="Z104" i="40"/>
  <c r="P104" i="40"/>
  <c r="P98" i="40"/>
  <c r="V97" i="40"/>
  <c r="AS95" i="40"/>
  <c r="AS92" i="40"/>
  <c r="AS89" i="40"/>
  <c r="V89" i="40"/>
  <c r="V86" i="40"/>
  <c r="AR85" i="40"/>
  <c r="AR110" i="39"/>
  <c r="AL110" i="39"/>
  <c r="Z110" i="39"/>
  <c r="AR108" i="39"/>
  <c r="AL102" i="39"/>
  <c r="AJ97" i="39"/>
  <c r="AC19" i="47" s="1"/>
  <c r="AD97" i="39"/>
  <c r="W19" i="47" s="1"/>
  <c r="Y97" i="39"/>
  <c r="R19" i="47" s="1"/>
  <c r="R97" i="39"/>
  <c r="K19" i="47" s="1"/>
  <c r="AO93" i="39"/>
  <c r="AS90" i="39"/>
  <c r="AO90" i="39"/>
  <c r="AR89" i="39"/>
  <c r="P89" i="39"/>
  <c r="AO88" i="39"/>
  <c r="V87" i="39"/>
  <c r="Z84" i="39"/>
  <c r="AS82" i="39"/>
  <c r="V82" i="39"/>
  <c r="AS76" i="39"/>
  <c r="AO76" i="39"/>
  <c r="AS75" i="39"/>
  <c r="AO75" i="39"/>
  <c r="V75" i="39"/>
  <c r="AL74" i="39"/>
  <c r="V72" i="39"/>
  <c r="AO71" i="39"/>
  <c r="AA71" i="39"/>
  <c r="P69" i="39"/>
  <c r="V68" i="39"/>
  <c r="AO67" i="39"/>
  <c r="V67" i="39"/>
  <c r="AO65" i="39"/>
  <c r="V65" i="39"/>
  <c r="AR64" i="39"/>
  <c r="V63" i="39"/>
  <c r="AS62" i="39"/>
  <c r="AO62" i="39"/>
  <c r="V62" i="39"/>
  <c r="AS61" i="39"/>
  <c r="AO61" i="39"/>
  <c r="V61" i="39"/>
  <c r="AS60" i="39"/>
  <c r="AO60" i="39"/>
  <c r="V60" i="39"/>
  <c r="AR59" i="39"/>
  <c r="AL59" i="39"/>
  <c r="Z59" i="39"/>
  <c r="P59" i="39"/>
  <c r="AS58" i="39"/>
  <c r="AO58" i="39"/>
  <c r="V58" i="39"/>
  <c r="AS57" i="39"/>
  <c r="AO57" i="39"/>
  <c r="V57" i="39"/>
  <c r="AS56" i="39"/>
  <c r="AO56" i="39"/>
  <c r="V56" i="39"/>
  <c r="AS55" i="39"/>
  <c r="AO55" i="39"/>
  <c r="V55" i="39"/>
  <c r="AR54" i="39"/>
  <c r="AL54" i="39"/>
  <c r="Z54" i="39"/>
  <c r="P54" i="39"/>
  <c r="AS53" i="39"/>
  <c r="AO53" i="39"/>
  <c r="V53" i="39"/>
  <c r="AS52" i="39"/>
  <c r="AO52" i="39"/>
  <c r="V52" i="39"/>
  <c r="AS51" i="39"/>
  <c r="AO51" i="39"/>
  <c r="V51" i="39"/>
  <c r="AS50" i="39"/>
  <c r="AO50" i="39"/>
  <c r="V50" i="39"/>
  <c r="AR49" i="39"/>
  <c r="AL49" i="39"/>
  <c r="Z49" i="39"/>
  <c r="P49" i="39"/>
  <c r="AS48" i="39"/>
  <c r="AS49" i="39" s="1"/>
  <c r="AO48" i="39"/>
  <c r="AO49" i="39" s="1"/>
  <c r="V48" i="39"/>
  <c r="AR47" i="39"/>
  <c r="AL47" i="39"/>
  <c r="Z47" i="39"/>
  <c r="Q47" i="39"/>
  <c r="P47" i="39"/>
  <c r="AS46" i="39"/>
  <c r="AO46" i="39"/>
  <c r="V46" i="39"/>
  <c r="AS45" i="39"/>
  <c r="AO45" i="39"/>
  <c r="V45" i="39"/>
  <c r="AS44" i="39"/>
  <c r="AO44" i="39"/>
  <c r="V44" i="39"/>
  <c r="AS43" i="39"/>
  <c r="AO43" i="39"/>
  <c r="V43" i="39"/>
  <c r="AR42" i="39"/>
  <c r="AL42" i="39"/>
  <c r="Z42" i="39"/>
  <c r="P42" i="39"/>
  <c r="AS41" i="39"/>
  <c r="AO41" i="39"/>
  <c r="V41" i="39"/>
  <c r="AS40" i="39"/>
  <c r="AS42" i="39" s="1"/>
  <c r="AO40" i="39"/>
  <c r="V40" i="39"/>
  <c r="AR39" i="39"/>
  <c r="AL39" i="39"/>
  <c r="Z39" i="39"/>
  <c r="P39" i="39"/>
  <c r="AS38" i="39"/>
  <c r="AS39" i="39" s="1"/>
  <c r="AO38" i="39"/>
  <c r="AO39" i="39" s="1"/>
  <c r="V38" i="39"/>
  <c r="AR37" i="39"/>
  <c r="AL37" i="39"/>
  <c r="Z37" i="39"/>
  <c r="P37" i="39"/>
  <c r="AS36" i="39"/>
  <c r="AO36" i="39"/>
  <c r="V36" i="39"/>
  <c r="AR35" i="39"/>
  <c r="AL35" i="39"/>
  <c r="Z35" i="39"/>
  <c r="P35" i="39"/>
  <c r="AS34" i="39"/>
  <c r="AO34" i="39"/>
  <c r="V34" i="39"/>
  <c r="AS33" i="39"/>
  <c r="AO33" i="39"/>
  <c r="V33" i="39"/>
  <c r="AS32" i="39"/>
  <c r="AO32" i="39"/>
  <c r="V32" i="39"/>
  <c r="AS31" i="39"/>
  <c r="AO31" i="39"/>
  <c r="V31" i="39"/>
  <c r="AR30" i="39"/>
  <c r="AL30" i="39"/>
  <c r="Z30" i="39"/>
  <c r="P30" i="39"/>
  <c r="AS29" i="39"/>
  <c r="AO29" i="39"/>
  <c r="V29" i="39"/>
  <c r="AS28" i="39"/>
  <c r="AO28" i="39"/>
  <c r="V28" i="39"/>
  <c r="AS27" i="39"/>
  <c r="AO27" i="39"/>
  <c r="V27" i="39"/>
  <c r="AS26" i="39"/>
  <c r="AO26" i="39"/>
  <c r="V26" i="39"/>
  <c r="AR25" i="39"/>
  <c r="AL25" i="39"/>
  <c r="Z25" i="39"/>
  <c r="P25" i="39"/>
  <c r="AS24" i="39"/>
  <c r="AO24" i="39"/>
  <c r="V24" i="39"/>
  <c r="AS23" i="39"/>
  <c r="AO23" i="39"/>
  <c r="V23" i="39"/>
  <c r="AS22" i="39"/>
  <c r="AO22" i="39"/>
  <c r="V22" i="39"/>
  <c r="AR21" i="39"/>
  <c r="AL21" i="39"/>
  <c r="Z21" i="39"/>
  <c r="P21" i="39"/>
  <c r="AS20" i="39"/>
  <c r="AO20" i="39"/>
  <c r="V20" i="39"/>
  <c r="AS19" i="39"/>
  <c r="AO19" i="39"/>
  <c r="V19" i="39"/>
  <c r="AS18" i="39"/>
  <c r="AO18" i="39"/>
  <c r="V18" i="39"/>
  <c r="AR17" i="39"/>
  <c r="AG17" i="39"/>
  <c r="AG97" i="39" s="1"/>
  <c r="Z19" i="47" s="1"/>
  <c r="Z17" i="39"/>
  <c r="Q17" i="39"/>
  <c r="Q97" i="39" s="1"/>
  <c r="J19" i="47" s="1"/>
  <c r="P17" i="39"/>
  <c r="AO16" i="39"/>
  <c r="AL16" i="39"/>
  <c r="V16" i="39"/>
  <c r="AS15" i="39"/>
  <c r="AO15" i="39"/>
  <c r="V15" i="39"/>
  <c r="AS14" i="39"/>
  <c r="AO14" i="39"/>
  <c r="V14" i="39"/>
  <c r="AR13" i="39"/>
  <c r="AL13" i="39"/>
  <c r="Z13" i="39"/>
  <c r="P13" i="39"/>
  <c r="AS12" i="39"/>
  <c r="AO12" i="39"/>
  <c r="V12" i="39"/>
  <c r="AR102" i="39"/>
  <c r="AR101" i="39"/>
  <c r="AI97" i="39"/>
  <c r="AB19" i="47" s="1"/>
  <c r="U97" i="39"/>
  <c r="N19" i="47" s="1"/>
  <c r="AR96" i="39"/>
  <c r="AL96" i="39"/>
  <c r="V95" i="39"/>
  <c r="AO94" i="39"/>
  <c r="V93" i="39"/>
  <c r="AL92" i="39"/>
  <c r="AR84" i="39"/>
  <c r="AO82" i="39"/>
  <c r="V70" i="39"/>
  <c r="AO68" i="39"/>
  <c r="AR109" i="39"/>
  <c r="AL109" i="39"/>
  <c r="P109" i="39"/>
  <c r="Z108" i="39"/>
  <c r="AL104" i="39"/>
  <c r="Z104" i="39"/>
  <c r="P104" i="39"/>
  <c r="AH97" i="39"/>
  <c r="AA19" i="47" s="1"/>
  <c r="W97" i="39"/>
  <c r="P19" i="47" s="1"/>
  <c r="S97" i="39"/>
  <c r="L19" i="47" s="1"/>
  <c r="Z96" i="39"/>
  <c r="P96" i="39"/>
  <c r="AS94" i="39"/>
  <c r="V94" i="39"/>
  <c r="P92" i="39"/>
  <c r="AO91" i="39"/>
  <c r="AS87" i="39"/>
  <c r="AS86" i="39"/>
  <c r="AO86" i="39"/>
  <c r="AS85" i="39"/>
  <c r="AS83" i="39"/>
  <c r="AO83" i="39"/>
  <c r="AO81" i="39"/>
  <c r="V81" i="39"/>
  <c r="V80" i="39"/>
  <c r="AR79" i="39"/>
  <c r="AO78" i="39"/>
  <c r="AR74" i="39"/>
  <c r="AS72" i="39"/>
  <c r="AS70" i="39"/>
  <c r="AO70" i="39"/>
  <c r="AS63" i="39"/>
  <c r="P110" i="39"/>
  <c r="Z109" i="39"/>
  <c r="AL108" i="39"/>
  <c r="P108" i="39"/>
  <c r="AR104" i="39"/>
  <c r="Z102" i="39"/>
  <c r="AK97" i="39"/>
  <c r="AD19" i="47" s="1"/>
  <c r="AS95" i="39"/>
  <c r="AR92" i="39"/>
  <c r="V91" i="39"/>
  <c r="V90" i="39"/>
  <c r="V88" i="39"/>
  <c r="V86" i="39"/>
  <c r="AL84" i="39"/>
  <c r="P84" i="39"/>
  <c r="AS81" i="39"/>
  <c r="AS80" i="39"/>
  <c r="AL79" i="39"/>
  <c r="AS78" i="39"/>
  <c r="V78" i="39"/>
  <c r="AS77" i="39"/>
  <c r="V77" i="39"/>
  <c r="AS73" i="39"/>
  <c r="AO72" i="39"/>
  <c r="AS71" i="39"/>
  <c r="AN71" i="39"/>
  <c r="AB71" i="39"/>
  <c r="AP71" i="39" s="1"/>
  <c r="AL69" i="39"/>
  <c r="Z69" i="39"/>
  <c r="AS67" i="39"/>
  <c r="AO66" i="39"/>
  <c r="AS65" i="39"/>
  <c r="AL64" i="39"/>
  <c r="P102" i="39"/>
  <c r="Z101" i="39"/>
  <c r="P101" i="39"/>
  <c r="I98" i="39"/>
  <c r="X97" i="39"/>
  <c r="Q19" i="47" s="1"/>
  <c r="T97" i="39"/>
  <c r="M19" i="47" s="1"/>
  <c r="AO95" i="39"/>
  <c r="AS93" i="39"/>
  <c r="Z92" i="39"/>
  <c r="AS91" i="39"/>
  <c r="AL89" i="39"/>
  <c r="Z89" i="39"/>
  <c r="AS88" i="39"/>
  <c r="AO87" i="39"/>
  <c r="AO85" i="39"/>
  <c r="V85" i="39"/>
  <c r="V83" i="39"/>
  <c r="AO80" i="39"/>
  <c r="Z79" i="39"/>
  <c r="P79" i="39"/>
  <c r="AO77" i="39"/>
  <c r="V76" i="39"/>
  <c r="Z74" i="39"/>
  <c r="P74" i="39"/>
  <c r="AO73" i="39"/>
  <c r="V73" i="39"/>
  <c r="AC71" i="39"/>
  <c r="AQ71" i="39" s="1"/>
  <c r="AR69" i="39"/>
  <c r="AS68" i="39"/>
  <c r="AS66" i="39"/>
  <c r="V66" i="39"/>
  <c r="P238" i="32"/>
  <c r="AL237" i="32"/>
  <c r="Z237" i="32"/>
  <c r="P237" i="32"/>
  <c r="P232" i="32"/>
  <c r="Z230" i="32"/>
  <c r="AJ225" i="32"/>
  <c r="AD225" i="32"/>
  <c r="T225" i="32"/>
  <c r="AS223" i="32"/>
  <c r="AS224" i="32" s="1"/>
  <c r="AS219" i="32"/>
  <c r="Z217" i="32"/>
  <c r="AO213" i="32"/>
  <c r="V213" i="32"/>
  <c r="Z212" i="32"/>
  <c r="AO210" i="32"/>
  <c r="AO209" i="32"/>
  <c r="AO206" i="32"/>
  <c r="V206" i="32"/>
  <c r="AS201" i="32"/>
  <c r="AS198" i="32"/>
  <c r="AS194" i="32"/>
  <c r="AO194" i="32"/>
  <c r="AS193" i="32"/>
  <c r="AO193" i="32"/>
  <c r="AO191" i="32"/>
  <c r="AS190" i="32"/>
  <c r="V190" i="32"/>
  <c r="Z189" i="32"/>
  <c r="V188" i="32"/>
  <c r="P184" i="32"/>
  <c r="AS183" i="32"/>
  <c r="AO183" i="32"/>
  <c r="V183" i="32"/>
  <c r="AS182" i="32"/>
  <c r="AS184" i="32" s="1"/>
  <c r="AO182" i="32"/>
  <c r="AO184" i="32" s="1"/>
  <c r="V182" i="32"/>
  <c r="AL181" i="32"/>
  <c r="Z181" i="32"/>
  <c r="P181" i="32"/>
  <c r="AS180" i="32"/>
  <c r="AO180" i="32"/>
  <c r="V180" i="32"/>
  <c r="AS179" i="32"/>
  <c r="AO179" i="32"/>
  <c r="V179" i="32"/>
  <c r="AS178" i="32"/>
  <c r="AO178" i="32"/>
  <c r="V178" i="32"/>
  <c r="AS177" i="32"/>
  <c r="AS181" i="32" s="1"/>
  <c r="AO177" i="32"/>
  <c r="AO181" i="32" s="1"/>
  <c r="V177" i="32"/>
  <c r="AL176" i="32"/>
  <c r="Z176" i="32"/>
  <c r="P176" i="32"/>
  <c r="AS175" i="32"/>
  <c r="AO175" i="32"/>
  <c r="V175" i="32"/>
  <c r="AS174" i="32"/>
  <c r="AO174" i="32"/>
  <c r="V174" i="32"/>
  <c r="AS173" i="32"/>
  <c r="AO173" i="32"/>
  <c r="V173" i="32"/>
  <c r="AS172" i="32"/>
  <c r="AO172" i="32"/>
  <c r="AO176" i="32" s="1"/>
  <c r="V172" i="32"/>
  <c r="AL171" i="32"/>
  <c r="Z171" i="32"/>
  <c r="P171" i="32"/>
  <c r="AS170" i="32"/>
  <c r="AO170" i="32"/>
  <c r="V170" i="32"/>
  <c r="AS169" i="32"/>
  <c r="AS171" i="32" s="1"/>
  <c r="AO169" i="32"/>
  <c r="AO171" i="32" s="1"/>
  <c r="V169" i="32"/>
  <c r="AL168" i="32"/>
  <c r="Z168" i="32"/>
  <c r="P168" i="32"/>
  <c r="AS167" i="32"/>
  <c r="AS168" i="32" s="1"/>
  <c r="AO167" i="32"/>
  <c r="AO168" i="32" s="1"/>
  <c r="V167" i="32"/>
  <c r="AL166" i="32"/>
  <c r="Z166" i="32"/>
  <c r="P166" i="32"/>
  <c r="AS165" i="32"/>
  <c r="AO165" i="32"/>
  <c r="V165" i="32"/>
  <c r="AS164" i="32"/>
  <c r="AO164" i="32"/>
  <c r="V164" i="32"/>
  <c r="AS163" i="32"/>
  <c r="AO163" i="32"/>
  <c r="V163" i="32"/>
  <c r="AS162" i="32"/>
  <c r="AO162" i="32"/>
  <c r="V162" i="32"/>
  <c r="AS161" i="32"/>
  <c r="AO161" i="32"/>
  <c r="V161" i="32"/>
  <c r="AS160" i="32"/>
  <c r="AO160" i="32"/>
  <c r="V160" i="32"/>
  <c r="AS159" i="32"/>
  <c r="AO159" i="32"/>
  <c r="AO166" i="32" s="1"/>
  <c r="V159" i="32"/>
  <c r="AL158" i="32"/>
  <c r="Z158" i="32"/>
  <c r="P158" i="32"/>
  <c r="AS157" i="32"/>
  <c r="AO157" i="32"/>
  <c r="V157" i="32"/>
  <c r="AS156" i="32"/>
  <c r="AO156" i="32"/>
  <c r="V156" i="32"/>
  <c r="AS155" i="32"/>
  <c r="AS158" i="32" s="1"/>
  <c r="AO155" i="32"/>
  <c r="AO158" i="32" s="1"/>
  <c r="V155" i="32"/>
  <c r="AL154" i="32"/>
  <c r="Z154" i="32"/>
  <c r="P154" i="32"/>
  <c r="AS153" i="32"/>
  <c r="AO153" i="32"/>
  <c r="V153" i="32"/>
  <c r="AS152" i="32"/>
  <c r="AS154" i="32" s="1"/>
  <c r="AO152" i="32"/>
  <c r="AO154" i="32" s="1"/>
  <c r="V152" i="32"/>
  <c r="AL151" i="32"/>
  <c r="Z151" i="32"/>
  <c r="P151" i="32"/>
  <c r="AS150" i="32"/>
  <c r="AO150" i="32"/>
  <c r="V150" i="32"/>
  <c r="AS149" i="32"/>
  <c r="AO149" i="32"/>
  <c r="V149" i="32"/>
  <c r="AS148" i="32"/>
  <c r="AO148" i="32"/>
  <c r="V148" i="32"/>
  <c r="AS147" i="32"/>
  <c r="AO147" i="32"/>
  <c r="AO151" i="32" s="1"/>
  <c r="V147" i="32"/>
  <c r="AL146" i="32"/>
  <c r="Z146" i="32"/>
  <c r="P146" i="32"/>
  <c r="AS145" i="32"/>
  <c r="AO145" i="32"/>
  <c r="V145" i="32"/>
  <c r="AS144" i="32"/>
  <c r="AO144" i="32"/>
  <c r="V144" i="32"/>
  <c r="AS143" i="32"/>
  <c r="AS146" i="32" s="1"/>
  <c r="AO143" i="32"/>
  <c r="AO146" i="32" s="1"/>
  <c r="V143" i="32"/>
  <c r="AL142" i="32"/>
  <c r="Z142" i="32"/>
  <c r="P142" i="32"/>
  <c r="AS141" i="32"/>
  <c r="AO141" i="32"/>
  <c r="V141" i="32"/>
  <c r="AS140" i="32"/>
  <c r="AS142" i="32" s="1"/>
  <c r="AO140" i="32"/>
  <c r="AO142" i="32" s="1"/>
  <c r="V140" i="32"/>
  <c r="AL139" i="32"/>
  <c r="Z139" i="32"/>
  <c r="P139" i="32"/>
  <c r="AS138" i="32"/>
  <c r="AO138" i="32"/>
  <c r="V138" i="32"/>
  <c r="AS137" i="32"/>
  <c r="AO137" i="32"/>
  <c r="V137" i="32"/>
  <c r="AS136" i="32"/>
  <c r="AO136" i="32"/>
  <c r="V136" i="32"/>
  <c r="AS135" i="32"/>
  <c r="AS139" i="32" s="1"/>
  <c r="AO135" i="32"/>
  <c r="AO139" i="32" s="1"/>
  <c r="V135" i="32"/>
  <c r="AL134" i="32"/>
  <c r="Z134" i="32"/>
  <c r="P134" i="32"/>
  <c r="AS133" i="32"/>
  <c r="AO133" i="32"/>
  <c r="V133" i="32"/>
  <c r="AS132" i="32"/>
  <c r="AO132" i="32"/>
  <c r="V132" i="32"/>
  <c r="AS131" i="32"/>
  <c r="AO131" i="32"/>
  <c r="V131" i="32"/>
  <c r="AS130" i="32"/>
  <c r="AS134" i="32" s="1"/>
  <c r="AO130" i="32"/>
  <c r="AO134" i="32" s="1"/>
  <c r="V130" i="32"/>
  <c r="AL129" i="32"/>
  <c r="Z129" i="32"/>
  <c r="P129" i="32"/>
  <c r="AS128" i="32"/>
  <c r="AO128" i="32"/>
  <c r="V128" i="32"/>
  <c r="AS127" i="32"/>
  <c r="AO127" i="32"/>
  <c r="V127" i="32"/>
  <c r="AS126" i="32"/>
  <c r="AO126" i="32"/>
  <c r="V126" i="32"/>
  <c r="AS125" i="32"/>
  <c r="AS129" i="32" s="1"/>
  <c r="AO125" i="32"/>
  <c r="AO129" i="32" s="1"/>
  <c r="V125" i="32"/>
  <c r="AL124" i="32"/>
  <c r="Z124" i="32"/>
  <c r="P124" i="32"/>
  <c r="AS123" i="32"/>
  <c r="AO123" i="32"/>
  <c r="V123" i="32"/>
  <c r="AS122" i="32"/>
  <c r="AO122" i="32"/>
  <c r="V122" i="32"/>
  <c r="AS121" i="32"/>
  <c r="AO121" i="32"/>
  <c r="V121" i="32"/>
  <c r="AS120" i="32"/>
  <c r="AS124" i="32" s="1"/>
  <c r="AO120" i="32"/>
  <c r="AO124" i="32" s="1"/>
  <c r="V120" i="32"/>
  <c r="AL119" i="32"/>
  <c r="Z119" i="32"/>
  <c r="P119" i="32"/>
  <c r="AS118" i="32"/>
  <c r="AO118" i="32"/>
  <c r="V118" i="32"/>
  <c r="AS117" i="32"/>
  <c r="AS119" i="32" s="1"/>
  <c r="AO117" i="32"/>
  <c r="AO119" i="32" s="1"/>
  <c r="V117" i="32"/>
  <c r="AK225" i="32"/>
  <c r="Y225" i="32"/>
  <c r="S225" i="32"/>
  <c r="P224" i="32"/>
  <c r="AO223" i="32"/>
  <c r="AO224" i="32" s="1"/>
  <c r="AL222" i="32"/>
  <c r="Z222" i="32"/>
  <c r="AS221" i="32"/>
  <c r="V220" i="32"/>
  <c r="V218" i="32"/>
  <c r="AS216" i="32"/>
  <c r="AS214" i="32"/>
  <c r="V214" i="32"/>
  <c r="AS213" i="32"/>
  <c r="AL212" i="32"/>
  <c r="P212" i="32"/>
  <c r="AO211" i="32"/>
  <c r="AS210" i="32"/>
  <c r="AS208" i="32"/>
  <c r="AO208" i="32"/>
  <c r="AO212" i="32" s="1"/>
  <c r="AL207" i="32"/>
  <c r="Z207" i="32"/>
  <c r="AS206" i="32"/>
  <c r="AS203" i="32"/>
  <c r="AB200" i="32"/>
  <c r="AP200" i="32" s="1"/>
  <c r="AO198" i="32"/>
  <c r="Z197" i="32"/>
  <c r="P197" i="32"/>
  <c r="AO196" i="32"/>
  <c r="V196" i="32"/>
  <c r="V195" i="32"/>
  <c r="V187" i="32"/>
  <c r="AO185" i="32"/>
  <c r="V185" i="32"/>
  <c r="AL116" i="32"/>
  <c r="Z116" i="32"/>
  <c r="P116" i="32"/>
  <c r="AS115" i="32"/>
  <c r="AS116" i="32" s="1"/>
  <c r="AO115" i="32"/>
  <c r="AO116" i="32" s="1"/>
  <c r="V115" i="32"/>
  <c r="AL114" i="32"/>
  <c r="Z114" i="32"/>
  <c r="P114" i="32"/>
  <c r="AS113" i="32"/>
  <c r="AO113" i="32"/>
  <c r="V113" i="32"/>
  <c r="AS112" i="32"/>
  <c r="AO112" i="32"/>
  <c r="V112" i="32"/>
  <c r="AS111" i="32"/>
  <c r="AO111" i="32"/>
  <c r="V111" i="32"/>
  <c r="AS110" i="32"/>
  <c r="AS114" i="32" s="1"/>
  <c r="AO110" i="32"/>
  <c r="AO114" i="32" s="1"/>
  <c r="V110" i="32"/>
  <c r="AL109" i="32"/>
  <c r="Z109" i="32"/>
  <c r="P109" i="32"/>
  <c r="AS108" i="32"/>
  <c r="AO108" i="32"/>
  <c r="V108" i="32"/>
  <c r="AS107" i="32"/>
  <c r="AO107" i="32"/>
  <c r="V107" i="32"/>
  <c r="AS106" i="32"/>
  <c r="AO106" i="32"/>
  <c r="V106" i="32"/>
  <c r="AS105" i="32"/>
  <c r="AS109" i="32" s="1"/>
  <c r="AO105" i="32"/>
  <c r="AO109" i="32" s="1"/>
  <c r="V105" i="32"/>
  <c r="AL104" i="32"/>
  <c r="Z104" i="32"/>
  <c r="P104" i="32"/>
  <c r="AS103" i="32"/>
  <c r="AO103" i="32"/>
  <c r="V103" i="32"/>
  <c r="AS102" i="32"/>
  <c r="AO102" i="32"/>
  <c r="V102" i="32"/>
  <c r="AS101" i="32"/>
  <c r="AO101" i="32"/>
  <c r="V101" i="32"/>
  <c r="AL100" i="32"/>
  <c r="Z100" i="32"/>
  <c r="P100" i="32"/>
  <c r="AS99" i="32"/>
  <c r="AO99" i="32"/>
  <c r="V99" i="32"/>
  <c r="AS98" i="32"/>
  <c r="AS100" i="32" s="1"/>
  <c r="AO98" i="32"/>
  <c r="AO100" i="32" s="1"/>
  <c r="V98" i="32"/>
  <c r="AL97" i="32"/>
  <c r="Z97" i="32"/>
  <c r="P97" i="32"/>
  <c r="AS96" i="32"/>
  <c r="AO96" i="32"/>
  <c r="V96" i="32"/>
  <c r="AS95" i="32"/>
  <c r="AO95" i="32"/>
  <c r="V95" i="32"/>
  <c r="AS94" i="32"/>
  <c r="AO94" i="32"/>
  <c r="V94" i="32"/>
  <c r="AS93" i="32"/>
  <c r="AS97" i="32" s="1"/>
  <c r="AO93" i="32"/>
  <c r="AO97" i="32" s="1"/>
  <c r="V93" i="32"/>
  <c r="AL92" i="32"/>
  <c r="Z92" i="32"/>
  <c r="P92" i="32"/>
  <c r="AS91" i="32"/>
  <c r="AO91" i="32"/>
  <c r="V91" i="32"/>
  <c r="AS90" i="32"/>
  <c r="AS92" i="32" s="1"/>
  <c r="AO90" i="32"/>
  <c r="AO92" i="32" s="1"/>
  <c r="V90" i="32"/>
  <c r="AL89" i="32"/>
  <c r="Z89" i="32"/>
  <c r="P89" i="32"/>
  <c r="AS88" i="32"/>
  <c r="AO88" i="32"/>
  <c r="V88" i="32"/>
  <c r="AL87" i="32"/>
  <c r="Z87" i="32"/>
  <c r="P87" i="32"/>
  <c r="AS86" i="32"/>
  <c r="AO86" i="32"/>
  <c r="V86" i="32"/>
  <c r="AS85" i="32"/>
  <c r="AO85" i="32"/>
  <c r="V85" i="32"/>
  <c r="AS84" i="32"/>
  <c r="AO84" i="32"/>
  <c r="V84" i="32"/>
  <c r="AS83" i="32"/>
  <c r="AS234" i="32" s="1"/>
  <c r="AO83" i="32"/>
  <c r="AO234" i="32" s="1"/>
  <c r="V83" i="32"/>
  <c r="AS82" i="32"/>
  <c r="AO82" i="32"/>
  <c r="V82" i="32"/>
  <c r="AS81" i="32"/>
  <c r="AO81" i="32"/>
  <c r="V81" i="32"/>
  <c r="AS80" i="32"/>
  <c r="AS231" i="32" s="1"/>
  <c r="AO80" i="32"/>
  <c r="AO231" i="32" s="1"/>
  <c r="V80" i="32"/>
  <c r="AS79" i="32"/>
  <c r="AO79" i="32"/>
  <c r="V79" i="32"/>
  <c r="AS78" i="32"/>
  <c r="AS87" i="32" s="1"/>
  <c r="AO78" i="32"/>
  <c r="AO87" i="32" s="1"/>
  <c r="V78" i="32"/>
  <c r="AG77" i="32"/>
  <c r="Z77" i="32"/>
  <c r="Q77" i="32"/>
  <c r="P77" i="32"/>
  <c r="AS76" i="32"/>
  <c r="AO76" i="32"/>
  <c r="V76" i="32"/>
  <c r="AO75" i="32"/>
  <c r="AL75" i="32"/>
  <c r="AS75" i="32" s="1"/>
  <c r="V75" i="32"/>
  <c r="AS74" i="32"/>
  <c r="AO74" i="32"/>
  <c r="V74" i="32"/>
  <c r="AS73" i="32"/>
  <c r="AO73" i="32"/>
  <c r="AO77" i="32" s="1"/>
  <c r="V73" i="32"/>
  <c r="AL72" i="32"/>
  <c r="Z72" i="32"/>
  <c r="P72" i="32"/>
  <c r="AS71" i="32"/>
  <c r="AO71" i="32"/>
  <c r="V71" i="32"/>
  <c r="AS70" i="32"/>
  <c r="AO70" i="32"/>
  <c r="V70" i="32"/>
  <c r="AS69" i="32"/>
  <c r="AS72" i="32" s="1"/>
  <c r="AO69" i="32"/>
  <c r="AO72" i="32" s="1"/>
  <c r="V69" i="32"/>
  <c r="AL68" i="32"/>
  <c r="Z68" i="32"/>
  <c r="P68" i="32"/>
  <c r="AS67" i="32"/>
  <c r="AO67" i="32"/>
  <c r="V67" i="32"/>
  <c r="AS66" i="32"/>
  <c r="AO66" i="32"/>
  <c r="V66" i="32"/>
  <c r="AS65" i="32"/>
  <c r="AO65" i="32"/>
  <c r="V65" i="32"/>
  <c r="AS64" i="32"/>
  <c r="AS68" i="32" s="1"/>
  <c r="AO64" i="32"/>
  <c r="AO68" i="32" s="1"/>
  <c r="V64" i="32"/>
  <c r="AG63" i="32"/>
  <c r="Z63" i="32"/>
  <c r="Q63" i="32"/>
  <c r="P63" i="32"/>
  <c r="AS62" i="32"/>
  <c r="AO62" i="32"/>
  <c r="V62" i="32"/>
  <c r="AO61" i="32"/>
  <c r="AL61" i="32"/>
  <c r="AS61" i="32" s="1"/>
  <c r="V61" i="32"/>
  <c r="AS60" i="32"/>
  <c r="AO60" i="32"/>
  <c r="V60" i="32"/>
  <c r="AS59" i="32"/>
  <c r="AO59" i="32"/>
  <c r="AO63" i="32" s="1"/>
  <c r="V59" i="32"/>
  <c r="AL58" i="32"/>
  <c r="Z58" i="32"/>
  <c r="P58" i="32"/>
  <c r="AS57" i="32"/>
  <c r="AO57" i="32"/>
  <c r="V57" i="32"/>
  <c r="AS56" i="32"/>
  <c r="AO56" i="32"/>
  <c r="V56" i="32"/>
  <c r="AS55" i="32"/>
  <c r="AO55" i="32"/>
  <c r="V55" i="32"/>
  <c r="AS54" i="32"/>
  <c r="AS58" i="32" s="1"/>
  <c r="AO54" i="32"/>
  <c r="AO58" i="32" s="1"/>
  <c r="V54" i="32"/>
  <c r="AL53" i="32"/>
  <c r="Z53" i="32"/>
  <c r="P53" i="32"/>
  <c r="AS52" i="32"/>
  <c r="AO52" i="32"/>
  <c r="V52" i="32"/>
  <c r="AS51" i="32"/>
  <c r="AO51" i="32"/>
  <c r="V51" i="32"/>
  <c r="AS50" i="32"/>
  <c r="AO50" i="32"/>
  <c r="V50" i="32"/>
  <c r="AS49" i="32"/>
  <c r="Q230" i="32"/>
  <c r="Q228" i="32" s="1"/>
  <c r="AI225" i="32"/>
  <c r="AF225" i="32"/>
  <c r="U225" i="32"/>
  <c r="AS220" i="32"/>
  <c r="AS218" i="32"/>
  <c r="AS222" i="32" s="1"/>
  <c r="P217" i="32"/>
  <c r="AO216" i="32"/>
  <c r="AS211" i="32"/>
  <c r="V211" i="32"/>
  <c r="AS209" i="32"/>
  <c r="V209" i="32"/>
  <c r="AS205" i="32"/>
  <c r="AO205" i="32"/>
  <c r="V205" i="32"/>
  <c r="AO204" i="32"/>
  <c r="V203" i="32"/>
  <c r="AS200" i="32"/>
  <c r="V199" i="32"/>
  <c r="AS195" i="32"/>
  <c r="AO195" i="32"/>
  <c r="V194" i="32"/>
  <c r="Z192" i="32"/>
  <c r="AS191" i="32"/>
  <c r="AS188" i="32"/>
  <c r="AO188" i="32"/>
  <c r="AS187" i="32"/>
  <c r="AO187" i="32"/>
  <c r="V49" i="32"/>
  <c r="AS48" i="32"/>
  <c r="AS53" i="32" s="1"/>
  <c r="AO48" i="32"/>
  <c r="AO53" i="32" s="1"/>
  <c r="V48" i="32"/>
  <c r="AG47" i="32"/>
  <c r="Z47" i="32"/>
  <c r="Q47" i="32"/>
  <c r="P47" i="32"/>
  <c r="AS46" i="32"/>
  <c r="AO46" i="32"/>
  <c r="V46" i="32"/>
  <c r="AS45" i="32"/>
  <c r="AO45" i="32"/>
  <c r="V45" i="32"/>
  <c r="AO44" i="32"/>
  <c r="AL44" i="32"/>
  <c r="V44" i="32"/>
  <c r="AS43" i="32"/>
  <c r="AO43" i="32"/>
  <c r="V43" i="32"/>
  <c r="AS42" i="32"/>
  <c r="AO42" i="32"/>
  <c r="AO47" i="32" s="1"/>
  <c r="V42" i="32"/>
  <c r="AL41" i="32"/>
  <c r="Z41" i="32"/>
  <c r="P41" i="32"/>
  <c r="AS40" i="32"/>
  <c r="AS236" i="32" s="1"/>
  <c r="AO40" i="32"/>
  <c r="AO236" i="32" s="1"/>
  <c r="V40" i="32"/>
  <c r="AS39" i="32"/>
  <c r="AO39" i="32"/>
  <c r="V39" i="32"/>
  <c r="AS38" i="32"/>
  <c r="AO38" i="32"/>
  <c r="AO230" i="32" s="1"/>
  <c r="V38" i="32"/>
  <c r="AS37" i="32"/>
  <c r="AS41" i="32" s="1"/>
  <c r="AO37" i="32"/>
  <c r="AO41" i="32" s="1"/>
  <c r="V37" i="32"/>
  <c r="AL36" i="32"/>
  <c r="Z36" i="32"/>
  <c r="P36" i="32"/>
  <c r="AS35" i="32"/>
  <c r="AO35" i="32"/>
  <c r="V35" i="32"/>
  <c r="AS34" i="32"/>
  <c r="AO34" i="32"/>
  <c r="AO36" i="32" s="1"/>
  <c r="V34" i="32"/>
  <c r="AL33" i="32"/>
  <c r="Z33" i="32"/>
  <c r="P33" i="32"/>
  <c r="AS32" i="32"/>
  <c r="AO32" i="32"/>
  <c r="V32" i="32"/>
  <c r="AS31" i="32"/>
  <c r="AS33" i="32" s="1"/>
  <c r="AO31" i="32"/>
  <c r="AO33" i="32" s="1"/>
  <c r="V31" i="32"/>
  <c r="AL30" i="32"/>
  <c r="Z30" i="32"/>
  <c r="P30" i="32"/>
  <c r="AS29" i="32"/>
  <c r="AO29" i="32"/>
  <c r="V29" i="32"/>
  <c r="AS28" i="32"/>
  <c r="AS30" i="32" s="1"/>
  <c r="AO28" i="32"/>
  <c r="AO30" i="32" s="1"/>
  <c r="V28" i="32"/>
  <c r="AL27" i="32"/>
  <c r="Z27" i="32"/>
  <c r="P27" i="32"/>
  <c r="AS26" i="32"/>
  <c r="AO26" i="32"/>
  <c r="V26" i="32"/>
  <c r="AS25" i="32"/>
  <c r="AS27" i="32" s="1"/>
  <c r="AO25" i="32"/>
  <c r="AO27" i="32" s="1"/>
  <c r="V25" i="32"/>
  <c r="AL24" i="32"/>
  <c r="Z24" i="32"/>
  <c r="P24" i="32"/>
  <c r="AS23" i="32"/>
  <c r="AO23" i="32"/>
  <c r="V23" i="32"/>
  <c r="AS22" i="32"/>
  <c r="AO22" i="32"/>
  <c r="V22" i="32"/>
  <c r="AS21" i="32"/>
  <c r="AS24" i="32" s="1"/>
  <c r="AO21" i="32"/>
  <c r="AO24" i="32" s="1"/>
  <c r="V21" i="32"/>
  <c r="AL20" i="32"/>
  <c r="Z20" i="32"/>
  <c r="P20" i="32"/>
  <c r="AS19" i="32"/>
  <c r="AO19" i="32"/>
  <c r="V19" i="32"/>
  <c r="AS18" i="32"/>
  <c r="AO18" i="32"/>
  <c r="V18" i="32"/>
  <c r="AS17" i="32"/>
  <c r="AS20" i="32" s="1"/>
  <c r="AO17" i="32"/>
  <c r="AO20" i="32" s="1"/>
  <c r="V17" i="32"/>
  <c r="AL16" i="32"/>
  <c r="Z16" i="32"/>
  <c r="P16" i="32"/>
  <c r="AS15" i="32"/>
  <c r="AO15" i="32"/>
  <c r="V15" i="32"/>
  <c r="AS14" i="32"/>
  <c r="AO14" i="32"/>
  <c r="V14" i="32"/>
  <c r="AL13" i="32"/>
  <c r="Z13" i="32"/>
  <c r="Z225" i="32" s="1"/>
  <c r="P13" i="32"/>
  <c r="P225" i="32" s="1"/>
  <c r="AS12" i="32"/>
  <c r="AO12" i="32"/>
  <c r="V12" i="32"/>
  <c r="P236" i="32"/>
  <c r="AL232" i="32"/>
  <c r="Z232" i="32"/>
  <c r="AG230" i="32"/>
  <c r="AG228" i="32" s="1"/>
  <c r="AL227" i="32" s="1"/>
  <c r="AL229" i="32"/>
  <c r="P229" i="32"/>
  <c r="I226" i="32"/>
  <c r="AH225" i="32"/>
  <c r="X225" i="32"/>
  <c r="R225" i="32"/>
  <c r="Z224" i="32"/>
  <c r="P222" i="32"/>
  <c r="AO221" i="32"/>
  <c r="AO219" i="32"/>
  <c r="V219" i="32"/>
  <c r="V216" i="32"/>
  <c r="AL215" i="32"/>
  <c r="AS215" i="32" s="1"/>
  <c r="AO214" i="32"/>
  <c r="V210" i="32"/>
  <c r="V208" i="32"/>
  <c r="AS204" i="32"/>
  <c r="AO203" i="32"/>
  <c r="AL202" i="32"/>
  <c r="V201" i="32"/>
  <c r="AO200" i="32"/>
  <c r="AC200" i="32"/>
  <c r="AQ200" i="32" s="1"/>
  <c r="AO199" i="32"/>
  <c r="V198" i="32"/>
  <c r="AL197" i="32"/>
  <c r="AS196" i="32"/>
  <c r="P192" i="32"/>
  <c r="AO190" i="32"/>
  <c r="P189" i="32"/>
  <c r="AS186" i="32"/>
  <c r="AS185" i="32"/>
  <c r="AL238" i="32"/>
  <c r="Z238" i="32"/>
  <c r="AL236" i="32"/>
  <c r="Z236" i="32"/>
  <c r="P230" i="32"/>
  <c r="Z229" i="32"/>
  <c r="Z228" i="32" s="1"/>
  <c r="AR225" i="32"/>
  <c r="W225" i="32"/>
  <c r="AL224" i="32"/>
  <c r="V223" i="32"/>
  <c r="V221" i="32"/>
  <c r="AO220" i="32"/>
  <c r="AO218" i="32"/>
  <c r="AO222" i="32" s="1"/>
  <c r="AG217" i="32"/>
  <c r="Q217" i="32"/>
  <c r="AO215" i="32"/>
  <c r="V215" i="32"/>
  <c r="P207" i="32"/>
  <c r="V204" i="32"/>
  <c r="Z202" i="32"/>
  <c r="P202" i="32"/>
  <c r="AO201" i="32"/>
  <c r="AN200" i="32"/>
  <c r="AA200" i="32"/>
  <c r="AE200" i="32" s="1"/>
  <c r="AM200" i="32" s="1"/>
  <c r="AS199" i="32"/>
  <c r="V193" i="32"/>
  <c r="AL192" i="32"/>
  <c r="V191" i="32"/>
  <c r="AL189" i="32"/>
  <c r="AO186" i="32"/>
  <c r="V186" i="32"/>
  <c r="AR71" i="31"/>
  <c r="P71" i="31"/>
  <c r="Z63" i="31"/>
  <c r="AL62" i="31"/>
  <c r="AI58" i="31"/>
  <c r="Y58" i="31"/>
  <c r="S58" i="31"/>
  <c r="P57" i="31"/>
  <c r="V56" i="31"/>
  <c r="P53" i="31"/>
  <c r="Z51" i="31"/>
  <c r="P51" i="31"/>
  <c r="AS50" i="31"/>
  <c r="AO50" i="31"/>
  <c r="V50" i="31"/>
  <c r="AS49" i="31"/>
  <c r="AO49" i="31"/>
  <c r="V49" i="31"/>
  <c r="AS48" i="31"/>
  <c r="AO48" i="31"/>
  <c r="V48" i="31"/>
  <c r="AS47" i="31"/>
  <c r="AS51" i="31" s="1"/>
  <c r="AO47" i="31"/>
  <c r="AO51" i="31" s="1"/>
  <c r="V47" i="31"/>
  <c r="AR46" i="31"/>
  <c r="AL46" i="31"/>
  <c r="Z46" i="31"/>
  <c r="P46" i="31"/>
  <c r="AS45" i="31"/>
  <c r="AO45" i="31"/>
  <c r="V45" i="31"/>
  <c r="AS44" i="31"/>
  <c r="AO44" i="31"/>
  <c r="V44" i="31"/>
  <c r="AS43" i="31"/>
  <c r="AS46" i="31" s="1"/>
  <c r="AO43" i="31"/>
  <c r="AO46" i="31" s="1"/>
  <c r="V43" i="31"/>
  <c r="AR42" i="31"/>
  <c r="AL42" i="31"/>
  <c r="Z42" i="31"/>
  <c r="P42" i="31"/>
  <c r="AS41" i="31"/>
  <c r="AO41" i="31"/>
  <c r="V41" i="31"/>
  <c r="AS40" i="31"/>
  <c r="AS42" i="31" s="1"/>
  <c r="AO40" i="31"/>
  <c r="AO42" i="31" s="1"/>
  <c r="V40" i="31"/>
  <c r="AR39" i="31"/>
  <c r="AL39" i="31"/>
  <c r="Z39" i="31"/>
  <c r="P39" i="31"/>
  <c r="AS38" i="31"/>
  <c r="AO38" i="31"/>
  <c r="V38" i="31"/>
  <c r="AS37" i="31"/>
  <c r="AO37" i="31"/>
  <c r="V37" i="31"/>
  <c r="AS36" i="31"/>
  <c r="AS65" i="31" s="1"/>
  <c r="AO36" i="31"/>
  <c r="AO65" i="31" s="1"/>
  <c r="V36" i="31"/>
  <c r="AS35" i="31"/>
  <c r="AS39" i="31" s="1"/>
  <c r="AO35" i="31"/>
  <c r="AO39" i="31" s="1"/>
  <c r="V35" i="31"/>
  <c r="AR34" i="31"/>
  <c r="AL34" i="31"/>
  <c r="Z34" i="31"/>
  <c r="P34" i="31"/>
  <c r="AS33" i="31"/>
  <c r="AO33" i="31"/>
  <c r="V33" i="31"/>
  <c r="AR32" i="31"/>
  <c r="AL32" i="31"/>
  <c r="Z32" i="31"/>
  <c r="P32" i="31"/>
  <c r="AS31" i="31"/>
  <c r="AO31" i="31"/>
  <c r="V31" i="31"/>
  <c r="AS30" i="31"/>
  <c r="AO30" i="31"/>
  <c r="V30" i="31"/>
  <c r="AS29" i="31"/>
  <c r="AO29" i="31"/>
  <c r="V29" i="31"/>
  <c r="AS28" i="31"/>
  <c r="AS32" i="31" s="1"/>
  <c r="AO28" i="31"/>
  <c r="AO32" i="31" s="1"/>
  <c r="V28" i="31"/>
  <c r="AR27" i="31"/>
  <c r="AL27" i="31"/>
  <c r="Z27" i="31"/>
  <c r="P27" i="31"/>
  <c r="AS26" i="31"/>
  <c r="AO26" i="31"/>
  <c r="V26" i="31"/>
  <c r="AS25" i="31"/>
  <c r="AO25" i="31"/>
  <c r="V25" i="31"/>
  <c r="AS24" i="31"/>
  <c r="AO24" i="31"/>
  <c r="V24" i="31"/>
  <c r="AS23" i="31"/>
  <c r="AO23" i="31"/>
  <c r="V23" i="31"/>
  <c r="AR22" i="31"/>
  <c r="AL22" i="31"/>
  <c r="Z22" i="31"/>
  <c r="P22" i="31"/>
  <c r="AS21" i="31"/>
  <c r="AO21" i="31"/>
  <c r="V21" i="31"/>
  <c r="I59" i="31"/>
  <c r="AJ58" i="31"/>
  <c r="AF58" i="31"/>
  <c r="X58" i="31"/>
  <c r="R58" i="31"/>
  <c r="K17" i="47" s="1"/>
  <c r="AL57" i="31"/>
  <c r="AS56" i="31"/>
  <c r="AO55" i="31"/>
  <c r="V55" i="31"/>
  <c r="AO54" i="31"/>
  <c r="P20" i="31"/>
  <c r="AS19" i="31"/>
  <c r="AO19" i="31"/>
  <c r="V19" i="31"/>
  <c r="AS18" i="31"/>
  <c r="AS20" i="31" s="1"/>
  <c r="AO18" i="31"/>
  <c r="AO20" i="31" s="1"/>
  <c r="V18" i="31"/>
  <c r="AR17" i="31"/>
  <c r="AL17" i="31"/>
  <c r="Z17" i="31"/>
  <c r="P17" i="31"/>
  <c r="AS16" i="31"/>
  <c r="AO16" i="31"/>
  <c r="V16" i="31"/>
  <c r="AS15" i="31"/>
  <c r="AO15" i="31"/>
  <c r="AO17" i="31" s="1"/>
  <c r="V15" i="31"/>
  <c r="AR14" i="31"/>
  <c r="AL14" i="31"/>
  <c r="Z14" i="31"/>
  <c r="P14" i="31"/>
  <c r="P58" i="31" s="1"/>
  <c r="W59" i="31" s="1"/>
  <c r="AS13" i="31"/>
  <c r="AO13" i="31"/>
  <c r="V13" i="31"/>
  <c r="AS12" i="31"/>
  <c r="AO12" i="31"/>
  <c r="V12" i="31"/>
  <c r="P69" i="31"/>
  <c r="AR63" i="31"/>
  <c r="P63" i="31"/>
  <c r="AG58" i="31"/>
  <c r="Z17" i="47" s="1"/>
  <c r="W58" i="31"/>
  <c r="Q58" i="31"/>
  <c r="J17" i="47" s="1"/>
  <c r="AL70" i="31"/>
  <c r="AR69" i="31"/>
  <c r="AL69" i="31"/>
  <c r="Z69" i="31"/>
  <c r="AR62" i="31"/>
  <c r="P62" i="31"/>
  <c r="AH58" i="31"/>
  <c r="AD58" i="31"/>
  <c r="U58" i="31"/>
  <c r="AS55" i="31"/>
  <c r="AS54" i="31"/>
  <c r="AS57" i="31" s="1"/>
  <c r="V54" i="31"/>
  <c r="AR53" i="31"/>
  <c r="AL53" i="31"/>
  <c r="AS52" i="31"/>
  <c r="AS53" i="31" s="1"/>
  <c r="V52" i="31"/>
  <c r="AL71" i="31"/>
  <c r="Z71" i="31"/>
  <c r="AR70" i="31"/>
  <c r="Z70" i="31"/>
  <c r="P70" i="31"/>
  <c r="AL63" i="31"/>
  <c r="Z62" i="31"/>
  <c r="Z61" i="31" s="1"/>
  <c r="AK58" i="31"/>
  <c r="T58" i="31"/>
  <c r="AR57" i="31"/>
  <c r="Z57" i="31"/>
  <c r="AO56" i="31"/>
  <c r="Z53" i="31"/>
  <c r="AO52" i="31"/>
  <c r="AO53" i="31" s="1"/>
  <c r="AL91" i="30"/>
  <c r="AI80" i="30"/>
  <c r="AD80" i="30"/>
  <c r="T80" i="30"/>
  <c r="AR79" i="30"/>
  <c r="AS78" i="30"/>
  <c r="AO78" i="30"/>
  <c r="AS77" i="30"/>
  <c r="V77" i="30"/>
  <c r="AS76" i="30"/>
  <c r="AO76" i="30"/>
  <c r="V76" i="30"/>
  <c r="AS75" i="30"/>
  <c r="AS79" i="30" s="1"/>
  <c r="AO75" i="30"/>
  <c r="V75" i="30"/>
  <c r="AR74" i="30"/>
  <c r="AL74" i="30"/>
  <c r="Z74" i="30"/>
  <c r="P74" i="30"/>
  <c r="AS73" i="30"/>
  <c r="AO73" i="30"/>
  <c r="V73" i="30"/>
  <c r="AS72" i="30"/>
  <c r="AO72" i="30"/>
  <c r="V72" i="30"/>
  <c r="AS71" i="30"/>
  <c r="AO71" i="30"/>
  <c r="V71" i="30"/>
  <c r="AS70" i="30"/>
  <c r="AS74" i="30" s="1"/>
  <c r="AO70" i="30"/>
  <c r="AO74" i="30" s="1"/>
  <c r="V70" i="30"/>
  <c r="AR69" i="30"/>
  <c r="AL69" i="30"/>
  <c r="Z69" i="30"/>
  <c r="P69" i="30"/>
  <c r="AS68" i="30"/>
  <c r="AO68" i="30"/>
  <c r="V68" i="30"/>
  <c r="AS67" i="30"/>
  <c r="AS69" i="30" s="1"/>
  <c r="AO67" i="30"/>
  <c r="AO69" i="30" s="1"/>
  <c r="V67" i="30"/>
  <c r="AR66" i="30"/>
  <c r="AL66" i="30"/>
  <c r="Z66" i="30"/>
  <c r="P66" i="30"/>
  <c r="AS65" i="30"/>
  <c r="AO65" i="30"/>
  <c r="V65" i="30"/>
  <c r="AS64" i="30"/>
  <c r="AO64" i="30"/>
  <c r="V64" i="30"/>
  <c r="AS63" i="30"/>
  <c r="AS66" i="30" s="1"/>
  <c r="AO63" i="30"/>
  <c r="AO66" i="30" s="1"/>
  <c r="V63" i="30"/>
  <c r="AR62" i="30"/>
  <c r="AL62" i="30"/>
  <c r="Z62" i="30"/>
  <c r="P62" i="30"/>
  <c r="AS61" i="30"/>
  <c r="AO61" i="30"/>
  <c r="V61" i="30"/>
  <c r="AS60" i="30"/>
  <c r="AS62" i="30" s="1"/>
  <c r="AO60" i="30"/>
  <c r="AO62" i="30" s="1"/>
  <c r="V60" i="30"/>
  <c r="AR59" i="30"/>
  <c r="AL59" i="30"/>
  <c r="Z59" i="30"/>
  <c r="P59" i="30"/>
  <c r="AS58" i="30"/>
  <c r="AO58" i="30"/>
  <c r="V58" i="30"/>
  <c r="AS57" i="30"/>
  <c r="AO57" i="30"/>
  <c r="V57" i="30"/>
  <c r="AS56" i="30"/>
  <c r="AS59" i="30" s="1"/>
  <c r="AO56" i="30"/>
  <c r="AO59" i="30" s="1"/>
  <c r="V56" i="30"/>
  <c r="AR55" i="30"/>
  <c r="AL55" i="30"/>
  <c r="Z55" i="30"/>
  <c r="P55" i="30"/>
  <c r="AS54" i="30"/>
  <c r="AO54" i="30"/>
  <c r="V54" i="30"/>
  <c r="AS53" i="30"/>
  <c r="AS55" i="30" s="1"/>
  <c r="AO53" i="30"/>
  <c r="AO55" i="30" s="1"/>
  <c r="V53" i="30"/>
  <c r="AR52" i="30"/>
  <c r="AL52" i="30"/>
  <c r="Z52" i="30"/>
  <c r="P52" i="30"/>
  <c r="AS51" i="30"/>
  <c r="AO51" i="30"/>
  <c r="V51" i="30"/>
  <c r="AS50" i="30"/>
  <c r="AO50" i="30"/>
  <c r="V50" i="30"/>
  <c r="AS49" i="30"/>
  <c r="AO49" i="30"/>
  <c r="V49" i="30"/>
  <c r="AS48" i="30"/>
  <c r="AS52" i="30" s="1"/>
  <c r="AO48" i="30"/>
  <c r="AO52" i="30" s="1"/>
  <c r="V48" i="30"/>
  <c r="AL87" i="30"/>
  <c r="I81" i="30"/>
  <c r="AF80" i="30"/>
  <c r="W80" i="30"/>
  <c r="R80" i="30"/>
  <c r="Z79" i="30"/>
  <c r="AO77" i="30"/>
  <c r="AL47" i="30"/>
  <c r="Z47" i="30"/>
  <c r="P47" i="30"/>
  <c r="AS46" i="30"/>
  <c r="AO46" i="30"/>
  <c r="V46" i="30"/>
  <c r="AS45" i="30"/>
  <c r="AO45" i="30"/>
  <c r="V45" i="30"/>
  <c r="AS44" i="30"/>
  <c r="AS47" i="30" s="1"/>
  <c r="AO44" i="30"/>
  <c r="AO47" i="30" s="1"/>
  <c r="V44" i="30"/>
  <c r="AR43" i="30"/>
  <c r="AL43" i="30"/>
  <c r="Z43" i="30"/>
  <c r="P43" i="30"/>
  <c r="AS42" i="30"/>
  <c r="AO42" i="30"/>
  <c r="V42" i="30"/>
  <c r="AS41" i="30"/>
  <c r="AS43" i="30" s="1"/>
  <c r="AO41" i="30"/>
  <c r="AO43" i="30" s="1"/>
  <c r="V41" i="30"/>
  <c r="AR40" i="30"/>
  <c r="AG40" i="30"/>
  <c r="Z40" i="30"/>
  <c r="Q40" i="30"/>
  <c r="Q80" i="30" s="1"/>
  <c r="J16" i="47" s="1"/>
  <c r="P40" i="30"/>
  <c r="AS39" i="30"/>
  <c r="AO39" i="30"/>
  <c r="V39" i="30"/>
  <c r="AO38" i="30"/>
  <c r="AL38" i="30"/>
  <c r="AS38" i="30" s="1"/>
  <c r="V38" i="30"/>
  <c r="AS37" i="30"/>
  <c r="AO37" i="30"/>
  <c r="V37" i="30"/>
  <c r="AS36" i="30"/>
  <c r="AO36" i="30"/>
  <c r="V36" i="30"/>
  <c r="AS35" i="30"/>
  <c r="AS40" i="30" s="1"/>
  <c r="AO35" i="30"/>
  <c r="AO40" i="30" s="1"/>
  <c r="V35" i="30"/>
  <c r="AR34" i="30"/>
  <c r="AL34" i="30"/>
  <c r="Z34" i="30"/>
  <c r="P34" i="30"/>
  <c r="AS33" i="30"/>
  <c r="AO33" i="30"/>
  <c r="V33" i="30"/>
  <c r="AS32" i="30"/>
  <c r="AO32" i="30"/>
  <c r="V32" i="30"/>
  <c r="AS31" i="30"/>
  <c r="AS87" i="30" s="1"/>
  <c r="AO31" i="30"/>
  <c r="AO87" i="30" s="1"/>
  <c r="V31" i="30"/>
  <c r="AS30" i="30"/>
  <c r="AS34" i="30" s="1"/>
  <c r="AO30" i="30"/>
  <c r="AO34" i="30" s="1"/>
  <c r="V30" i="30"/>
  <c r="AR29" i="30"/>
  <c r="AL29" i="30"/>
  <c r="Z29" i="30"/>
  <c r="P29" i="30"/>
  <c r="AS28" i="30"/>
  <c r="AO28" i="30"/>
  <c r="V28" i="30"/>
  <c r="AR27" i="30"/>
  <c r="AL27" i="30"/>
  <c r="Z27" i="30"/>
  <c r="P27" i="30"/>
  <c r="AS26" i="30"/>
  <c r="AO26" i="30"/>
  <c r="V26" i="30"/>
  <c r="AS25" i="30"/>
  <c r="AO25" i="30"/>
  <c r="V25" i="30"/>
  <c r="AS24" i="30"/>
  <c r="AO24" i="30"/>
  <c r="V24" i="30"/>
  <c r="AS23" i="30"/>
  <c r="AS27" i="30" s="1"/>
  <c r="AO23" i="30"/>
  <c r="AO27" i="30" s="1"/>
  <c r="V23" i="30"/>
  <c r="AR22" i="30"/>
  <c r="AG22" i="30"/>
  <c r="Z22" i="30"/>
  <c r="P22" i="30"/>
  <c r="AS21" i="30"/>
  <c r="AO21" i="30"/>
  <c r="V21" i="30"/>
  <c r="AS20" i="30"/>
  <c r="AO20" i="30"/>
  <c r="V20" i="30"/>
  <c r="AO19" i="30"/>
  <c r="AN19" i="30"/>
  <c r="AL19" i="30"/>
  <c r="AC19" i="30"/>
  <c r="AQ19" i="30" s="1"/>
  <c r="AB19" i="30"/>
  <c r="AP19" i="30" s="1"/>
  <c r="AA19" i="30"/>
  <c r="AR87" i="30"/>
  <c r="P87" i="30"/>
  <c r="AH80" i="30"/>
  <c r="X80" i="30"/>
  <c r="S80" i="30"/>
  <c r="V78" i="30"/>
  <c r="AS18" i="30"/>
  <c r="AO18" i="30"/>
  <c r="V18" i="30"/>
  <c r="AS17" i="30"/>
  <c r="AO17" i="30"/>
  <c r="V17" i="30"/>
  <c r="AR16" i="30"/>
  <c r="AL16" i="30"/>
  <c r="Z16" i="30"/>
  <c r="P16" i="30"/>
  <c r="AS15" i="30"/>
  <c r="AO15" i="30"/>
  <c r="V15" i="30"/>
  <c r="AR14" i="30"/>
  <c r="AL14" i="30"/>
  <c r="Z14" i="30"/>
  <c r="P14" i="30"/>
  <c r="AS13" i="30"/>
  <c r="AO13" i="30"/>
  <c r="V13" i="30"/>
  <c r="AS12" i="30"/>
  <c r="AO12" i="30"/>
  <c r="V12" i="30"/>
  <c r="AR92" i="30"/>
  <c r="AL92" i="30"/>
  <c r="AR91" i="30"/>
  <c r="Z91" i="30"/>
  <c r="P91" i="30"/>
  <c r="Z87" i="30"/>
  <c r="Z83" i="30" s="1"/>
  <c r="AK80" i="30"/>
  <c r="U80" i="30"/>
  <c r="P79" i="30"/>
  <c r="AJ80" i="30"/>
  <c r="Y80" i="30"/>
  <c r="AL79" i="30"/>
  <c r="AO146" i="29"/>
  <c r="V146" i="29"/>
  <c r="AR145" i="29"/>
  <c r="AL145" i="29"/>
  <c r="Z145" i="29"/>
  <c r="P145" i="29"/>
  <c r="AS144" i="29"/>
  <c r="AO144" i="29"/>
  <c r="V144" i="29"/>
  <c r="AS143" i="29"/>
  <c r="AO143" i="29"/>
  <c r="V143" i="29"/>
  <c r="AS142" i="29"/>
  <c r="AO142" i="29"/>
  <c r="AO145" i="29" s="1"/>
  <c r="V142" i="29"/>
  <c r="AR141" i="29"/>
  <c r="AL141" i="29"/>
  <c r="Z141" i="29"/>
  <c r="P141" i="29"/>
  <c r="AS140" i="29"/>
  <c r="AO140" i="29"/>
  <c r="V140" i="29"/>
  <c r="AS139" i="29"/>
  <c r="AS141" i="29" s="1"/>
  <c r="AO139" i="29"/>
  <c r="AO141" i="29" s="1"/>
  <c r="V139" i="29"/>
  <c r="AR138" i="29"/>
  <c r="AL138" i="29"/>
  <c r="Z138" i="29"/>
  <c r="P138" i="29"/>
  <c r="AS137" i="29"/>
  <c r="AO137" i="29"/>
  <c r="V137" i="29"/>
  <c r="AS136" i="29"/>
  <c r="AO136" i="29"/>
  <c r="V136" i="29"/>
  <c r="AS135" i="29"/>
  <c r="AO135" i="29"/>
  <c r="AO159" i="29" s="1"/>
  <c r="V135" i="29"/>
  <c r="AS134" i="29"/>
  <c r="AS138" i="29" s="1"/>
  <c r="AO134" i="29"/>
  <c r="AO138" i="29" s="1"/>
  <c r="V134" i="29"/>
  <c r="AR133" i="29"/>
  <c r="AL133" i="29"/>
  <c r="Z133" i="29"/>
  <c r="P133" i="29"/>
  <c r="AS132" i="29"/>
  <c r="AO132" i="29"/>
  <c r="V132" i="29"/>
  <c r="AS131" i="29"/>
  <c r="AS133" i="29" s="1"/>
  <c r="AO131" i="29"/>
  <c r="AO133" i="29" s="1"/>
  <c r="V131" i="29"/>
  <c r="AR130" i="29"/>
  <c r="AL130" i="29"/>
  <c r="Z130" i="29"/>
  <c r="P130" i="29"/>
  <c r="AS129" i="29"/>
  <c r="AO129" i="29"/>
  <c r="V129" i="29"/>
  <c r="AS128" i="29"/>
  <c r="AO128" i="29"/>
  <c r="V128" i="29"/>
  <c r="AS127" i="29"/>
  <c r="AS130" i="29" s="1"/>
  <c r="AO127" i="29"/>
  <c r="AO130" i="29" s="1"/>
  <c r="V127" i="29"/>
  <c r="AR126" i="29"/>
  <c r="AL126" i="29"/>
  <c r="Z126" i="29"/>
  <c r="P126" i="29"/>
  <c r="AS125" i="29"/>
  <c r="AO125" i="29"/>
  <c r="V125" i="29"/>
  <c r="AS124" i="29"/>
  <c r="AS126" i="29" s="1"/>
  <c r="AO124" i="29"/>
  <c r="AO126" i="29" s="1"/>
  <c r="V124" i="29"/>
  <c r="AR123" i="29"/>
  <c r="AL123" i="29"/>
  <c r="Z123" i="29"/>
  <c r="P123" i="29"/>
  <c r="AS122" i="29"/>
  <c r="AO122" i="29"/>
  <c r="V122" i="29"/>
  <c r="AS121" i="29"/>
  <c r="AO121" i="29"/>
  <c r="V121" i="29"/>
  <c r="AS120" i="29"/>
  <c r="AO120" i="29"/>
  <c r="V120" i="29"/>
  <c r="AS119" i="29"/>
  <c r="AS123" i="29" s="1"/>
  <c r="AO119" i="29"/>
  <c r="AO123" i="29" s="1"/>
  <c r="V119" i="29"/>
  <c r="AJ152" i="29"/>
  <c r="X152" i="29"/>
  <c r="S152" i="29"/>
  <c r="AR151" i="29"/>
  <c r="AL151" i="29"/>
  <c r="Z151" i="29"/>
  <c r="AS149" i="29"/>
  <c r="V149" i="29"/>
  <c r="AS117" i="29"/>
  <c r="AO117" i="29"/>
  <c r="V117" i="29"/>
  <c r="AS116" i="29"/>
  <c r="AO116" i="29"/>
  <c r="V116" i="29"/>
  <c r="AS115" i="29"/>
  <c r="AO115" i="29"/>
  <c r="V115" i="29"/>
  <c r="AS114" i="29"/>
  <c r="AO114" i="29"/>
  <c r="V114" i="29"/>
  <c r="AS113" i="29"/>
  <c r="AS118" i="29" s="1"/>
  <c r="AO113" i="29"/>
  <c r="AO118" i="29" s="1"/>
  <c r="V113" i="29"/>
  <c r="AR112" i="29"/>
  <c r="AL112" i="29"/>
  <c r="Z112" i="29"/>
  <c r="P112" i="29"/>
  <c r="AS111" i="29"/>
  <c r="AO111" i="29"/>
  <c r="V111" i="29"/>
  <c r="AR110" i="29"/>
  <c r="AL110" i="29"/>
  <c r="Z110" i="29"/>
  <c r="P110" i="29"/>
  <c r="AS109" i="29"/>
  <c r="AO109" i="29"/>
  <c r="V109" i="29"/>
  <c r="AS108" i="29"/>
  <c r="AO108" i="29"/>
  <c r="V108" i="29"/>
  <c r="AS107" i="29"/>
  <c r="AO107" i="29"/>
  <c r="V107" i="29"/>
  <c r="AS106" i="29"/>
  <c r="AS110" i="29" s="1"/>
  <c r="AO106" i="29"/>
  <c r="AO110" i="29" s="1"/>
  <c r="V106" i="29"/>
  <c r="AR105" i="29"/>
  <c r="AL105" i="29"/>
  <c r="Z105" i="29"/>
  <c r="P105" i="29"/>
  <c r="AS104" i="29"/>
  <c r="AO104" i="29"/>
  <c r="V104" i="29"/>
  <c r="AS103" i="29"/>
  <c r="AO103" i="29"/>
  <c r="V103" i="29"/>
  <c r="AS102" i="29"/>
  <c r="AS105" i="29" s="1"/>
  <c r="AO102" i="29"/>
  <c r="AO105" i="29" s="1"/>
  <c r="V102" i="29"/>
  <c r="AR101" i="29"/>
  <c r="AG101" i="29"/>
  <c r="Z101" i="29"/>
  <c r="Q101" i="29"/>
  <c r="P101" i="29"/>
  <c r="AS100" i="29"/>
  <c r="AO100" i="29"/>
  <c r="V100" i="29"/>
  <c r="AO99" i="29"/>
  <c r="AL99" i="29"/>
  <c r="AS99" i="29" s="1"/>
  <c r="V99" i="29"/>
  <c r="AS98" i="29"/>
  <c r="AO98" i="29"/>
  <c r="V98" i="29"/>
  <c r="AS97" i="29"/>
  <c r="AO97" i="29"/>
  <c r="AO101" i="29" s="1"/>
  <c r="V97" i="29"/>
  <c r="AR96" i="29"/>
  <c r="AL96" i="29"/>
  <c r="Z96" i="29"/>
  <c r="P96" i="29"/>
  <c r="AS95" i="29"/>
  <c r="AO95" i="29"/>
  <c r="V95" i="29"/>
  <c r="AS94" i="29"/>
  <c r="AO94" i="29"/>
  <c r="V94" i="29"/>
  <c r="AS93" i="29"/>
  <c r="AO93" i="29"/>
  <c r="V93" i="29"/>
  <c r="AS92" i="29"/>
  <c r="AS96" i="29" s="1"/>
  <c r="AO92" i="29"/>
  <c r="AO96" i="29" s="1"/>
  <c r="V92" i="29"/>
  <c r="AR91" i="29"/>
  <c r="AG91" i="29"/>
  <c r="Z91" i="29"/>
  <c r="Q91" i="29"/>
  <c r="P91" i="29"/>
  <c r="AS90" i="29"/>
  <c r="AO90" i="29"/>
  <c r="V90" i="29"/>
  <c r="AO89" i="29"/>
  <c r="AL89" i="29"/>
  <c r="AS89" i="29" s="1"/>
  <c r="V89" i="29"/>
  <c r="AS88" i="29"/>
  <c r="AO88" i="29"/>
  <c r="V88" i="29"/>
  <c r="AS87" i="29"/>
  <c r="V65" i="29"/>
  <c r="AR64" i="29"/>
  <c r="AL64" i="29"/>
  <c r="Z64" i="29"/>
  <c r="V63" i="29"/>
  <c r="AO62" i="29"/>
  <c r="AO61" i="29"/>
  <c r="V61" i="29"/>
  <c r="Z60" i="29"/>
  <c r="P60" i="29"/>
  <c r="AS58" i="29"/>
  <c r="V58" i="29"/>
  <c r="AL163" i="29"/>
  <c r="Z163" i="29"/>
  <c r="AR157" i="29"/>
  <c r="Z157" i="29"/>
  <c r="Z155" i="29" s="1"/>
  <c r="AR156" i="29"/>
  <c r="AR155" i="29" s="1"/>
  <c r="AK152" i="29"/>
  <c r="AD152" i="29"/>
  <c r="T152" i="29"/>
  <c r="P151" i="29"/>
  <c r="AO150" i="29"/>
  <c r="AO149" i="29"/>
  <c r="AO148" i="29"/>
  <c r="V148" i="29"/>
  <c r="V147" i="29"/>
  <c r="V87" i="29"/>
  <c r="AR86" i="29"/>
  <c r="AG86" i="29"/>
  <c r="Z86" i="29"/>
  <c r="Q86" i="29"/>
  <c r="P86" i="29"/>
  <c r="AS85" i="29"/>
  <c r="AO85" i="29"/>
  <c r="V85" i="29"/>
  <c r="AO84" i="29"/>
  <c r="AL84" i="29"/>
  <c r="AS84" i="29" s="1"/>
  <c r="V84" i="29"/>
  <c r="AS83" i="29"/>
  <c r="AO83" i="29"/>
  <c r="V83" i="29"/>
  <c r="AS82" i="29"/>
  <c r="AO82" i="29"/>
  <c r="AO86" i="29" s="1"/>
  <c r="V82" i="29"/>
  <c r="AR81" i="29"/>
  <c r="AG81" i="29"/>
  <c r="Z81" i="29"/>
  <c r="Q81" i="29"/>
  <c r="P81" i="29"/>
  <c r="AS80" i="29"/>
  <c r="AO80" i="29"/>
  <c r="V80" i="29"/>
  <c r="AO79" i="29"/>
  <c r="AL79" i="29"/>
  <c r="AS79" i="29" s="1"/>
  <c r="V79" i="29"/>
  <c r="AS78" i="29"/>
  <c r="AO78" i="29"/>
  <c r="V78" i="29"/>
  <c r="AS77" i="29"/>
  <c r="AO77" i="29"/>
  <c r="AO81" i="29" s="1"/>
  <c r="V77" i="29"/>
  <c r="AR76" i="29"/>
  <c r="AG76" i="29"/>
  <c r="Z76" i="29"/>
  <c r="Q76" i="29"/>
  <c r="P76" i="29"/>
  <c r="AS75" i="29"/>
  <c r="AO75" i="29"/>
  <c r="V75" i="29"/>
  <c r="AO74" i="29"/>
  <c r="AL74" i="29"/>
  <c r="AL76" i="29" s="1"/>
  <c r="V74" i="29"/>
  <c r="AS73" i="29"/>
  <c r="AO73" i="29"/>
  <c r="V73" i="29"/>
  <c r="AS72" i="29"/>
  <c r="AO72" i="29"/>
  <c r="AO76" i="29" s="1"/>
  <c r="V72" i="29"/>
  <c r="AR71" i="29"/>
  <c r="AL71" i="29"/>
  <c r="Z71" i="29"/>
  <c r="P71" i="29"/>
  <c r="AS70" i="29"/>
  <c r="AO70" i="29"/>
  <c r="V70" i="29"/>
  <c r="AS69" i="29"/>
  <c r="AO69" i="29"/>
  <c r="V69" i="29"/>
  <c r="AS68" i="29"/>
  <c r="AO68" i="29"/>
  <c r="V68" i="29"/>
  <c r="AS67" i="29"/>
  <c r="AO67" i="29"/>
  <c r="V67" i="29"/>
  <c r="AR66" i="29"/>
  <c r="AL66" i="29"/>
  <c r="Z66" i="29"/>
  <c r="P66" i="29"/>
  <c r="AS65" i="29"/>
  <c r="AS66" i="29" s="1"/>
  <c r="AO65" i="29"/>
  <c r="AO66" i="29" s="1"/>
  <c r="P64" i="29"/>
  <c r="AS63" i="29"/>
  <c r="AO63" i="29"/>
  <c r="AS62" i="29"/>
  <c r="V62" i="29"/>
  <c r="AS61" i="29"/>
  <c r="AS64" i="29" s="1"/>
  <c r="AR60" i="29"/>
  <c r="AL60" i="29"/>
  <c r="AS59" i="29"/>
  <c r="AO59" i="29"/>
  <c r="V59" i="29"/>
  <c r="AO58" i="29"/>
  <c r="AO60" i="29" s="1"/>
  <c r="P163" i="29"/>
  <c r="I153" i="29"/>
  <c r="AF152" i="29"/>
  <c r="U152" i="29"/>
  <c r="AL57" i="29"/>
  <c r="Z57" i="29"/>
  <c r="P57" i="29"/>
  <c r="AS56" i="29"/>
  <c r="AO56" i="29"/>
  <c r="V56" i="29"/>
  <c r="AS55" i="29"/>
  <c r="AS57" i="29" s="1"/>
  <c r="AO55" i="29"/>
  <c r="AO57" i="29" s="1"/>
  <c r="V55" i="29"/>
  <c r="AR54" i="29"/>
  <c r="AL54" i="29"/>
  <c r="Z54" i="29"/>
  <c r="P54" i="29"/>
  <c r="AS53" i="29"/>
  <c r="AO53" i="29"/>
  <c r="V53" i="29"/>
  <c r="AS52" i="29"/>
  <c r="AO52" i="29"/>
  <c r="AO54" i="29" s="1"/>
  <c r="V52" i="29"/>
  <c r="AR51" i="29"/>
  <c r="AL51" i="29"/>
  <c r="Z51" i="29"/>
  <c r="P51" i="29"/>
  <c r="AS50" i="29"/>
  <c r="AO50" i="29"/>
  <c r="V50" i="29"/>
  <c r="AS49" i="29"/>
  <c r="AS51" i="29" s="1"/>
  <c r="AO49" i="29"/>
  <c r="AO51" i="29" s="1"/>
  <c r="V49" i="29"/>
  <c r="AR48" i="29"/>
  <c r="AL48" i="29"/>
  <c r="Z48" i="29"/>
  <c r="P48" i="29"/>
  <c r="AS47" i="29"/>
  <c r="AO47" i="29"/>
  <c r="V47" i="29"/>
  <c r="AS46" i="29"/>
  <c r="AS48" i="29" s="1"/>
  <c r="AO46" i="29"/>
  <c r="AO48" i="29" s="1"/>
  <c r="V46" i="29"/>
  <c r="AR45" i="29"/>
  <c r="AL45" i="29"/>
  <c r="Z45" i="29"/>
  <c r="P45" i="29"/>
  <c r="AS44" i="29"/>
  <c r="AO44" i="29"/>
  <c r="V44" i="29"/>
  <c r="AS43" i="29"/>
  <c r="AS45" i="29" s="1"/>
  <c r="AO43" i="29"/>
  <c r="AO45" i="29" s="1"/>
  <c r="V43" i="29"/>
  <c r="AR42" i="29"/>
  <c r="AL42" i="29"/>
  <c r="Z42" i="29"/>
  <c r="P42" i="29"/>
  <c r="AS41" i="29"/>
  <c r="AO41" i="29"/>
  <c r="V41" i="29"/>
  <c r="AS40" i="29"/>
  <c r="AS42" i="29" s="1"/>
  <c r="AO40" i="29"/>
  <c r="AO42" i="29" s="1"/>
  <c r="V40" i="29"/>
  <c r="AR39" i="29"/>
  <c r="AL39" i="29"/>
  <c r="Z39" i="29"/>
  <c r="P39" i="29"/>
  <c r="AS38" i="29"/>
  <c r="AO38" i="29"/>
  <c r="V38" i="29"/>
  <c r="AS37" i="29"/>
  <c r="AS39" i="29" s="1"/>
  <c r="AO37" i="29"/>
  <c r="AO39" i="29" s="1"/>
  <c r="V37" i="29"/>
  <c r="AR36" i="29"/>
  <c r="AL36" i="29"/>
  <c r="Z36" i="29"/>
  <c r="P36" i="29"/>
  <c r="AS35" i="29"/>
  <c r="AO35" i="29"/>
  <c r="V35" i="29"/>
  <c r="AS34" i="29"/>
  <c r="AO34" i="29"/>
  <c r="AO36" i="29" s="1"/>
  <c r="V34" i="29"/>
  <c r="AR33" i="29"/>
  <c r="AL33" i="29"/>
  <c r="Z33" i="29"/>
  <c r="P33" i="29"/>
  <c r="AS32" i="29"/>
  <c r="AO32" i="29"/>
  <c r="V32" i="29"/>
  <c r="AS31" i="29"/>
  <c r="AS33" i="29" s="1"/>
  <c r="AO31" i="29"/>
  <c r="AO33" i="29" s="1"/>
  <c r="V31" i="29"/>
  <c r="AR163" i="29"/>
  <c r="P157" i="29"/>
  <c r="AI152" i="29"/>
  <c r="W152" i="29"/>
  <c r="V150" i="29"/>
  <c r="AS148" i="29"/>
  <c r="AO147" i="29"/>
  <c r="Z30" i="29"/>
  <c r="P30" i="29"/>
  <c r="AS29" i="29"/>
  <c r="AO29" i="29"/>
  <c r="V29" i="29"/>
  <c r="AS28" i="29"/>
  <c r="AS30" i="29" s="1"/>
  <c r="AO28" i="29"/>
  <c r="AO30" i="29" s="1"/>
  <c r="V28" i="29"/>
  <c r="AR27" i="29"/>
  <c r="AL27" i="29"/>
  <c r="Z27" i="29"/>
  <c r="P27" i="29"/>
  <c r="AS26" i="29"/>
  <c r="AS27" i="29" s="1"/>
  <c r="AO26" i="29"/>
  <c r="AO27" i="29" s="1"/>
  <c r="V26" i="29"/>
  <c r="AR25" i="29"/>
  <c r="AL25" i="29"/>
  <c r="Z25" i="29"/>
  <c r="P25" i="29"/>
  <c r="AS24" i="29"/>
  <c r="AO24" i="29"/>
  <c r="V24" i="29"/>
  <c r="AS23" i="29"/>
  <c r="AS25" i="29" s="1"/>
  <c r="AO23" i="29"/>
  <c r="AO25" i="29" s="1"/>
  <c r="V23" i="29"/>
  <c r="AR22" i="29"/>
  <c r="AL22" i="29"/>
  <c r="Z22" i="29"/>
  <c r="P22" i="29"/>
  <c r="AS21" i="29"/>
  <c r="AO21" i="29"/>
  <c r="V21" i="29"/>
  <c r="AS20" i="29"/>
  <c r="AS22" i="29" s="1"/>
  <c r="AO20" i="29"/>
  <c r="AO22" i="29" s="1"/>
  <c r="V20" i="29"/>
  <c r="AR19" i="29"/>
  <c r="AL19" i="29"/>
  <c r="Z19" i="29"/>
  <c r="P19" i="29"/>
  <c r="AS18" i="29"/>
  <c r="AO18" i="29"/>
  <c r="V18" i="29"/>
  <c r="AS17" i="29"/>
  <c r="AS19" i="29" s="1"/>
  <c r="AO17" i="29"/>
  <c r="AO19" i="29" s="1"/>
  <c r="V17" i="29"/>
  <c r="AR16" i="29"/>
  <c r="AL16" i="29"/>
  <c r="Z16" i="29"/>
  <c r="P16" i="29"/>
  <c r="AS15" i="29"/>
  <c r="AO15" i="29"/>
  <c r="V15" i="29"/>
  <c r="AS14" i="29"/>
  <c r="AO14" i="29"/>
  <c r="V14" i="29"/>
  <c r="AR13" i="29"/>
  <c r="AL13" i="29"/>
  <c r="Z13" i="29"/>
  <c r="P13" i="29"/>
  <c r="AS12" i="29"/>
  <c r="AO12" i="29"/>
  <c r="V12" i="29"/>
  <c r="AH152" i="29"/>
  <c r="Y152" i="29"/>
  <c r="R152" i="29"/>
  <c r="AS150" i="29"/>
  <c r="AS147" i="29"/>
  <c r="AA169" i="48"/>
  <c r="AN169" i="48"/>
  <c r="AB169" i="48"/>
  <c r="AP169" i="48" s="1"/>
  <c r="AC169" i="48"/>
  <c r="AQ169" i="48" s="1"/>
  <c r="K370" i="48"/>
  <c r="K106" i="44"/>
  <c r="AF366" i="48"/>
  <c r="AF363" i="48"/>
  <c r="AF361" i="48"/>
  <c r="AF356" i="48"/>
  <c r="AF350" i="48"/>
  <c r="AF345" i="48"/>
  <c r="AF340" i="48"/>
  <c r="AF335" i="48"/>
  <c r="AF329" i="48"/>
  <c r="AF324" i="48"/>
  <c r="AF319" i="48"/>
  <c r="AF313" i="48"/>
  <c r="AF310" i="48"/>
  <c r="AF305" i="48"/>
  <c r="AF300" i="48"/>
  <c r="AF297" i="48"/>
  <c r="AF292" i="48"/>
  <c r="AF287" i="48"/>
  <c r="AF281" i="48"/>
  <c r="AF277" i="48"/>
  <c r="AF270" i="48"/>
  <c r="AF267" i="48"/>
  <c r="AF264" i="48"/>
  <c r="AF261" i="48"/>
  <c r="AF259" i="48"/>
  <c r="AF255" i="48"/>
  <c r="AF252" i="48"/>
  <c r="AF247" i="48"/>
  <c r="AF242" i="48"/>
  <c r="AF240" i="48"/>
  <c r="AF233" i="48"/>
  <c r="AF229" i="48"/>
  <c r="AF224" i="48"/>
  <c r="AF221" i="48"/>
  <c r="AF216" i="48"/>
  <c r="AF213" i="48"/>
  <c r="AF210" i="48"/>
  <c r="AF208" i="48"/>
  <c r="AF203" i="48"/>
  <c r="AF198" i="48"/>
  <c r="AF193" i="48"/>
  <c r="AF188" i="48"/>
  <c r="AF183" i="48"/>
  <c r="AF178" i="48"/>
  <c r="AF173" i="48"/>
  <c r="AF167" i="48"/>
  <c r="AF163" i="48"/>
  <c r="AF158" i="48"/>
  <c r="AF152" i="48"/>
  <c r="AF146" i="48"/>
  <c r="AF141" i="48"/>
  <c r="AF135" i="48"/>
  <c r="AF130" i="48"/>
  <c r="AF125" i="48"/>
  <c r="AF120" i="48"/>
  <c r="AF115" i="48"/>
  <c r="AF110" i="48"/>
  <c r="AF104" i="48"/>
  <c r="AF98" i="48"/>
  <c r="AF94" i="48"/>
  <c r="AF91" i="48"/>
  <c r="AF89" i="48"/>
  <c r="AF86" i="48"/>
  <c r="AF83" i="48"/>
  <c r="AF81" i="48"/>
  <c r="AF78" i="48"/>
  <c r="AF75" i="48"/>
  <c r="AF72" i="48"/>
  <c r="AF69" i="48"/>
  <c r="AF66" i="48"/>
  <c r="AF63" i="48"/>
  <c r="AF60" i="48"/>
  <c r="AF56" i="48"/>
  <c r="AF54" i="48"/>
  <c r="AF51" i="48"/>
  <c r="AF48" i="48"/>
  <c r="AF45" i="48"/>
  <c r="AF43" i="48"/>
  <c r="AF41" i="48"/>
  <c r="AF39" i="48"/>
  <c r="AF36" i="48"/>
  <c r="AF33" i="48"/>
  <c r="AF30" i="48"/>
  <c r="AF27" i="48"/>
  <c r="AF24" i="48"/>
  <c r="AF20" i="48"/>
  <c r="AF17" i="48"/>
  <c r="AF13" i="48"/>
  <c r="W366" i="48"/>
  <c r="W363" i="48"/>
  <c r="W361" i="48"/>
  <c r="W356" i="48"/>
  <c r="W350" i="48"/>
  <c r="W345" i="48"/>
  <c r="W340" i="48"/>
  <c r="W335" i="48"/>
  <c r="W329" i="48"/>
  <c r="W324" i="48"/>
  <c r="W319" i="48"/>
  <c r="W313" i="48"/>
  <c r="W310" i="48"/>
  <c r="W305" i="48"/>
  <c r="W300" i="48"/>
  <c r="W297" i="48"/>
  <c r="W292" i="48"/>
  <c r="W287" i="48"/>
  <c r="W281" i="48"/>
  <c r="W277" i="48"/>
  <c r="W270" i="48"/>
  <c r="W267" i="48"/>
  <c r="W264" i="48"/>
  <c r="W261" i="48"/>
  <c r="W259" i="48"/>
  <c r="W255" i="48"/>
  <c r="W252" i="48"/>
  <c r="W247" i="48"/>
  <c r="W242" i="48"/>
  <c r="W240" i="48"/>
  <c r="W233" i="48"/>
  <c r="W229" i="48"/>
  <c r="W224" i="48"/>
  <c r="W221" i="48"/>
  <c r="W216" i="48"/>
  <c r="W213" i="48"/>
  <c r="W210" i="48"/>
  <c r="W208" i="48"/>
  <c r="W203" i="48"/>
  <c r="W198" i="48"/>
  <c r="W193" i="48"/>
  <c r="W188" i="48"/>
  <c r="W183" i="48"/>
  <c r="W178" i="48"/>
  <c r="W173" i="48"/>
  <c r="W167" i="48"/>
  <c r="W163" i="48"/>
  <c r="W158" i="48"/>
  <c r="W152" i="48"/>
  <c r="W146" i="48"/>
  <c r="W141" i="48"/>
  <c r="W135" i="48"/>
  <c r="W130" i="48"/>
  <c r="W125" i="48"/>
  <c r="W120" i="48"/>
  <c r="W115" i="48"/>
  <c r="W110" i="48"/>
  <c r="W104" i="48"/>
  <c r="W98" i="48"/>
  <c r="W94" i="48"/>
  <c r="W91" i="48"/>
  <c r="W89" i="48"/>
  <c r="W86" i="48"/>
  <c r="W83" i="48"/>
  <c r="W81" i="48"/>
  <c r="W78" i="48"/>
  <c r="W75" i="48"/>
  <c r="W72" i="48"/>
  <c r="W69" i="48"/>
  <c r="W66" i="48"/>
  <c r="W63" i="48"/>
  <c r="W60" i="48"/>
  <c r="W56" i="48"/>
  <c r="W54" i="48"/>
  <c r="W51" i="48"/>
  <c r="W48" i="48"/>
  <c r="W45" i="48"/>
  <c r="W43" i="48"/>
  <c r="W41" i="48"/>
  <c r="W39" i="48"/>
  <c r="W36" i="48"/>
  <c r="W33" i="48"/>
  <c r="W30" i="48"/>
  <c r="W27" i="48"/>
  <c r="W24" i="48"/>
  <c r="W20" i="48"/>
  <c r="W17" i="48"/>
  <c r="W13" i="48"/>
  <c r="AO99" i="42" l="1"/>
  <c r="AO31" i="42"/>
  <c r="AO80" i="42"/>
  <c r="AS146" i="42"/>
  <c r="AO28" i="42"/>
  <c r="AO69" i="42"/>
  <c r="AO72" i="42"/>
  <c r="AO158" i="42"/>
  <c r="AS28" i="42"/>
  <c r="AO56" i="42"/>
  <c r="AS69" i="42"/>
  <c r="AS72" i="42"/>
  <c r="AL154" i="42"/>
  <c r="AS77" i="41"/>
  <c r="AO26" i="41"/>
  <c r="AO64" i="41"/>
  <c r="AE85" i="41"/>
  <c r="AM85" i="41" s="1"/>
  <c r="AS17" i="40"/>
  <c r="AS104" i="40"/>
  <c r="AO90" i="40"/>
  <c r="AO20" i="40"/>
  <c r="V98" i="40"/>
  <c r="AO38" i="40"/>
  <c r="AO42" i="39"/>
  <c r="AS44" i="40"/>
  <c r="Q130" i="40"/>
  <c r="J20" i="47" s="1"/>
  <c r="AO151" i="42"/>
  <c r="AS142" i="42"/>
  <c r="AS158" i="42"/>
  <c r="AS56" i="42"/>
  <c r="AO77" i="42"/>
  <c r="AS151" i="42"/>
  <c r="AS77" i="42"/>
  <c r="AS129" i="42"/>
  <c r="AO48" i="42"/>
  <c r="AO84" i="42"/>
  <c r="AS106" i="42"/>
  <c r="AO133" i="42"/>
  <c r="AS22" i="42"/>
  <c r="AS48" i="42"/>
  <c r="AS84" i="42"/>
  <c r="AS120" i="42"/>
  <c r="AS89" i="42"/>
  <c r="AO25" i="42"/>
  <c r="AO62" i="42"/>
  <c r="AR155" i="42"/>
  <c r="AS25" i="42"/>
  <c r="AS62" i="42"/>
  <c r="AS26" i="41"/>
  <c r="AO38" i="41"/>
  <c r="AO49" i="41"/>
  <c r="Z111" i="41"/>
  <c r="AS33" i="41"/>
  <c r="AS38" i="41"/>
  <c r="AS43" i="41"/>
  <c r="P111" i="41"/>
  <c r="V110" i="41" s="1"/>
  <c r="AS70" i="41"/>
  <c r="AO107" i="41"/>
  <c r="AO54" i="41"/>
  <c r="AO43" i="41"/>
  <c r="AS54" i="41"/>
  <c r="AO33" i="41"/>
  <c r="AO95" i="41"/>
  <c r="AS98" i="41"/>
  <c r="AS20" i="40"/>
  <c r="AO51" i="40"/>
  <c r="AO56" i="40"/>
  <c r="AO61" i="40"/>
  <c r="AO66" i="40"/>
  <c r="AO74" i="40"/>
  <c r="AS81" i="40"/>
  <c r="AS51" i="40"/>
  <c r="AS56" i="40"/>
  <c r="AS61" i="40"/>
  <c r="AS71" i="40"/>
  <c r="AS74" i="40"/>
  <c r="AO85" i="40"/>
  <c r="AS90" i="40"/>
  <c r="AR130" i="40"/>
  <c r="AK20" i="47" s="1"/>
  <c r="AO78" i="40"/>
  <c r="AS85" i="40"/>
  <c r="AO44" i="40"/>
  <c r="AS101" i="40"/>
  <c r="AS93" i="40"/>
  <c r="AS114" i="40"/>
  <c r="AO122" i="40"/>
  <c r="P100" i="39"/>
  <c r="V99" i="39" s="1"/>
  <c r="AO84" i="39"/>
  <c r="AS96" i="39"/>
  <c r="AS84" i="39"/>
  <c r="AO89" i="39"/>
  <c r="AO30" i="39"/>
  <c r="AO47" i="39"/>
  <c r="AO54" i="39"/>
  <c r="AO59" i="39"/>
  <c r="AO64" i="39"/>
  <c r="AS30" i="39"/>
  <c r="AS59" i="39"/>
  <c r="AS176" i="32"/>
  <c r="AG225" i="32"/>
  <c r="Z18" i="47" s="1"/>
  <c r="AS166" i="32"/>
  <c r="Q225" i="32"/>
  <c r="J18" i="47" s="1"/>
  <c r="AS151" i="32"/>
  <c r="AS145" i="29"/>
  <c r="AS159" i="29"/>
  <c r="AS86" i="29"/>
  <c r="AS64" i="41"/>
  <c r="AS49" i="41"/>
  <c r="AL109" i="41"/>
  <c r="AS78" i="40"/>
  <c r="AS66" i="40"/>
  <c r="AG130" i="40"/>
  <c r="Z20" i="47" s="1"/>
  <c r="AS38" i="40"/>
  <c r="AL99" i="39"/>
  <c r="AS54" i="39"/>
  <c r="AS47" i="39"/>
  <c r="Z100" i="39"/>
  <c r="AS36" i="32"/>
  <c r="AL217" i="32"/>
  <c r="AS217" i="32"/>
  <c r="AS77" i="32"/>
  <c r="AS63" i="32"/>
  <c r="AS17" i="31"/>
  <c r="AS54" i="29"/>
  <c r="AS101" i="29"/>
  <c r="AS91" i="29"/>
  <c r="AS81" i="29"/>
  <c r="AE19" i="30"/>
  <c r="AM19" i="30" s="1"/>
  <c r="AN141" i="42"/>
  <c r="AB141" i="42"/>
  <c r="AP141" i="42" s="1"/>
  <c r="AC141" i="42"/>
  <c r="AQ141" i="42" s="1"/>
  <c r="AA141" i="42"/>
  <c r="AB135" i="42"/>
  <c r="AP135" i="42" s="1"/>
  <c r="AN135" i="42"/>
  <c r="AC135" i="42"/>
  <c r="AQ135" i="42" s="1"/>
  <c r="AA135" i="42"/>
  <c r="V129" i="42"/>
  <c r="AA127" i="42"/>
  <c r="AC127" i="42"/>
  <c r="AN127" i="42"/>
  <c r="AB127" i="42"/>
  <c r="AB123" i="42"/>
  <c r="AA123" i="42"/>
  <c r="V126" i="42"/>
  <c r="AC123" i="42"/>
  <c r="AN123" i="42"/>
  <c r="AN126" i="42" s="1"/>
  <c r="AC107" i="42"/>
  <c r="AA107" i="42"/>
  <c r="V109" i="42"/>
  <c r="AB107" i="42"/>
  <c r="AN107" i="42"/>
  <c r="AA101" i="42"/>
  <c r="AN101" i="42"/>
  <c r="AB101" i="42"/>
  <c r="AP101" i="42" s="1"/>
  <c r="AC101" i="42"/>
  <c r="AQ101" i="42" s="1"/>
  <c r="AC97" i="42"/>
  <c r="AN97" i="42"/>
  <c r="AB97" i="42"/>
  <c r="AA97" i="42"/>
  <c r="V99" i="42"/>
  <c r="AB95" i="42"/>
  <c r="AP95" i="42" s="1"/>
  <c r="AN95" i="42"/>
  <c r="AC95" i="42"/>
  <c r="AQ95" i="42" s="1"/>
  <c r="AA95" i="42"/>
  <c r="V96" i="42"/>
  <c r="AB93" i="42"/>
  <c r="AN93" i="42"/>
  <c r="AA93" i="42"/>
  <c r="AC93" i="42"/>
  <c r="AA85" i="42"/>
  <c r="AB85" i="42"/>
  <c r="AC85" i="42"/>
  <c r="AN85" i="42"/>
  <c r="V89" i="42"/>
  <c r="AA83" i="42"/>
  <c r="AB83" i="42"/>
  <c r="AP83" i="42" s="1"/>
  <c r="AC83" i="42"/>
  <c r="AQ83" i="42" s="1"/>
  <c r="AN83" i="42"/>
  <c r="AA82" i="42"/>
  <c r="AB82" i="42"/>
  <c r="AP82" i="42" s="1"/>
  <c r="AC82" i="42"/>
  <c r="AQ82" i="42" s="1"/>
  <c r="AN82" i="42"/>
  <c r="AA81" i="42"/>
  <c r="AB81" i="42"/>
  <c r="AC81" i="42"/>
  <c r="AN81" i="42"/>
  <c r="V84" i="42"/>
  <c r="AA79" i="42"/>
  <c r="AB79" i="42"/>
  <c r="AP79" i="42" s="1"/>
  <c r="AC79" i="42"/>
  <c r="AQ79" i="42" s="1"/>
  <c r="AN79" i="42"/>
  <c r="AA78" i="42"/>
  <c r="AB78" i="42"/>
  <c r="AC78" i="42"/>
  <c r="AN78" i="42"/>
  <c r="V80" i="42"/>
  <c r="AA76" i="42"/>
  <c r="AB76" i="42"/>
  <c r="AP76" i="42" s="1"/>
  <c r="AC76" i="42"/>
  <c r="AQ76" i="42" s="1"/>
  <c r="AN76" i="42"/>
  <c r="AA75" i="42"/>
  <c r="AB75" i="42"/>
  <c r="AP75" i="42" s="1"/>
  <c r="AC75" i="42"/>
  <c r="AQ75" i="42" s="1"/>
  <c r="AN75" i="42"/>
  <c r="AA74" i="42"/>
  <c r="AB74" i="42"/>
  <c r="AP74" i="42" s="1"/>
  <c r="AC74" i="42"/>
  <c r="AQ74" i="42" s="1"/>
  <c r="AN74" i="42"/>
  <c r="AA73" i="42"/>
  <c r="AB73" i="42"/>
  <c r="AC73" i="42"/>
  <c r="AN73" i="42"/>
  <c r="AN77" i="42" s="1"/>
  <c r="V77" i="42"/>
  <c r="AA71" i="42"/>
  <c r="AB71" i="42"/>
  <c r="AP71" i="42" s="1"/>
  <c r="AC71" i="42"/>
  <c r="AQ71" i="42" s="1"/>
  <c r="AN71" i="42"/>
  <c r="AA70" i="42"/>
  <c r="AB70" i="42"/>
  <c r="AC70" i="42"/>
  <c r="AN70" i="42"/>
  <c r="V72" i="42"/>
  <c r="AA68" i="42"/>
  <c r="AB68" i="42"/>
  <c r="AP68" i="42" s="1"/>
  <c r="AC68" i="42"/>
  <c r="AQ68" i="42" s="1"/>
  <c r="AN68" i="42"/>
  <c r="AA67" i="42"/>
  <c r="AB67" i="42"/>
  <c r="AP67" i="42" s="1"/>
  <c r="AC67" i="42"/>
  <c r="AQ67" i="42" s="1"/>
  <c r="AN67" i="42"/>
  <c r="AA66" i="42"/>
  <c r="AB66" i="42"/>
  <c r="AP66" i="42" s="1"/>
  <c r="AC66" i="42"/>
  <c r="AQ66" i="42" s="1"/>
  <c r="AN66" i="42"/>
  <c r="AA65" i="42"/>
  <c r="AB65" i="42"/>
  <c r="AC65" i="42"/>
  <c r="AN65" i="42"/>
  <c r="V69" i="42"/>
  <c r="AS64" i="42"/>
  <c r="AS164" i="42"/>
  <c r="AO64" i="42"/>
  <c r="AO164" i="42"/>
  <c r="AA63" i="42"/>
  <c r="AB63" i="42"/>
  <c r="AC63" i="42"/>
  <c r="AN63" i="42"/>
  <c r="V64" i="42"/>
  <c r="V164" i="42"/>
  <c r="AA61" i="42"/>
  <c r="AB61" i="42"/>
  <c r="AP61" i="42" s="1"/>
  <c r="AC61" i="42"/>
  <c r="AQ61" i="42" s="1"/>
  <c r="AN61" i="42"/>
  <c r="AA60" i="42"/>
  <c r="AB60" i="42"/>
  <c r="AP60" i="42" s="1"/>
  <c r="AC60" i="42"/>
  <c r="AQ60" i="42" s="1"/>
  <c r="AN60" i="42"/>
  <c r="AA59" i="42"/>
  <c r="AB59" i="42"/>
  <c r="AP59" i="42" s="1"/>
  <c r="AC59" i="42"/>
  <c r="AQ59" i="42" s="1"/>
  <c r="AN59" i="42"/>
  <c r="AA58" i="42"/>
  <c r="AB58" i="42"/>
  <c r="AP58" i="42" s="1"/>
  <c r="AC58" i="42"/>
  <c r="AQ58" i="42" s="1"/>
  <c r="AN58" i="42"/>
  <c r="AA57" i="42"/>
  <c r="AB57" i="42"/>
  <c r="AC57" i="42"/>
  <c r="AN57" i="42"/>
  <c r="V62" i="42"/>
  <c r="AA55" i="42"/>
  <c r="AB55" i="42"/>
  <c r="AP55" i="42" s="1"/>
  <c r="AC55" i="42"/>
  <c r="AQ55" i="42" s="1"/>
  <c r="AN55" i="42"/>
  <c r="AA54" i="42"/>
  <c r="AB54" i="42"/>
  <c r="AP54" i="42" s="1"/>
  <c r="AC54" i="42"/>
  <c r="AQ54" i="42" s="1"/>
  <c r="AN54" i="42"/>
  <c r="AA53" i="42"/>
  <c r="AB53" i="42"/>
  <c r="AC53" i="42"/>
  <c r="AN53" i="42"/>
  <c r="V56" i="42"/>
  <c r="AA51" i="42"/>
  <c r="AB51" i="42"/>
  <c r="AP51" i="42" s="1"/>
  <c r="AC51" i="42"/>
  <c r="AQ51" i="42" s="1"/>
  <c r="AN51" i="42"/>
  <c r="AA50" i="42"/>
  <c r="AB50" i="42"/>
  <c r="AP50" i="42" s="1"/>
  <c r="AC50" i="42"/>
  <c r="AQ50" i="42" s="1"/>
  <c r="AN50" i="42"/>
  <c r="AS52" i="42"/>
  <c r="AS159" i="42"/>
  <c r="AO52" i="42"/>
  <c r="AO159" i="42"/>
  <c r="AA49" i="42"/>
  <c r="AB49" i="42"/>
  <c r="AC49" i="42"/>
  <c r="AN49" i="42"/>
  <c r="V52" i="42"/>
  <c r="V159" i="42"/>
  <c r="AA47" i="42"/>
  <c r="AB47" i="42"/>
  <c r="AP47" i="42" s="1"/>
  <c r="AC47" i="42"/>
  <c r="AQ47" i="42" s="1"/>
  <c r="AN47" i="42"/>
  <c r="AA46" i="42"/>
  <c r="AB46" i="42"/>
  <c r="AP46" i="42" s="1"/>
  <c r="AC46" i="42"/>
  <c r="AQ46" i="42" s="1"/>
  <c r="AN46" i="42"/>
  <c r="AA45" i="42"/>
  <c r="AB45" i="42"/>
  <c r="AP45" i="42" s="1"/>
  <c r="AC45" i="42"/>
  <c r="AQ45" i="42" s="1"/>
  <c r="AN45" i="42"/>
  <c r="AA44" i="42"/>
  <c r="AB44" i="42"/>
  <c r="AC44" i="42"/>
  <c r="AN44" i="42"/>
  <c r="V48" i="42"/>
  <c r="AA42" i="42"/>
  <c r="AB42" i="42"/>
  <c r="AP42" i="42" s="1"/>
  <c r="AC42" i="42"/>
  <c r="AQ42" i="42" s="1"/>
  <c r="AN42" i="42"/>
  <c r="AA41" i="42"/>
  <c r="AB41" i="42"/>
  <c r="AP41" i="42" s="1"/>
  <c r="AC41" i="42"/>
  <c r="AQ41" i="42" s="1"/>
  <c r="AN41" i="42"/>
  <c r="AA40" i="42"/>
  <c r="AB40" i="42"/>
  <c r="AP40" i="42" s="1"/>
  <c r="AC40" i="42"/>
  <c r="AQ40" i="42" s="1"/>
  <c r="AN40" i="42"/>
  <c r="AS43" i="42"/>
  <c r="AS157" i="42"/>
  <c r="AO43" i="42"/>
  <c r="AO157" i="42"/>
  <c r="AA39" i="42"/>
  <c r="AB39" i="42"/>
  <c r="AC39" i="42"/>
  <c r="AN39" i="42"/>
  <c r="V43" i="42"/>
  <c r="V157" i="42"/>
  <c r="AS38" i="42"/>
  <c r="AS165" i="42"/>
  <c r="AO38" i="42"/>
  <c r="AO165" i="42"/>
  <c r="AA37" i="42"/>
  <c r="AB37" i="42"/>
  <c r="AC37" i="42"/>
  <c r="AN37" i="42"/>
  <c r="V38" i="42"/>
  <c r="V165" i="42"/>
  <c r="AA35" i="42"/>
  <c r="AB35" i="42"/>
  <c r="AP35" i="42" s="1"/>
  <c r="AC35" i="42"/>
  <c r="AQ35" i="42" s="1"/>
  <c r="AN35" i="42"/>
  <c r="AA34" i="42"/>
  <c r="AB34" i="42"/>
  <c r="AC34" i="42"/>
  <c r="AN34" i="42"/>
  <c r="V36" i="42"/>
  <c r="AA32" i="42"/>
  <c r="AB32" i="42"/>
  <c r="AC32" i="42"/>
  <c r="AN32" i="42"/>
  <c r="AN33" i="42" s="1"/>
  <c r="V33" i="42"/>
  <c r="AA30" i="42"/>
  <c r="AB30" i="42"/>
  <c r="AP30" i="42" s="1"/>
  <c r="AC30" i="42"/>
  <c r="AQ30" i="42" s="1"/>
  <c r="AN30" i="42"/>
  <c r="AA29" i="42"/>
  <c r="AB29" i="42"/>
  <c r="AC29" i="42"/>
  <c r="AN29" i="42"/>
  <c r="AN31" i="42" s="1"/>
  <c r="V31" i="42"/>
  <c r="AA27" i="42"/>
  <c r="AB27" i="42"/>
  <c r="AP27" i="42" s="1"/>
  <c r="AC27" i="42"/>
  <c r="AQ27" i="42" s="1"/>
  <c r="AN27" i="42"/>
  <c r="AA26" i="42"/>
  <c r="AB26" i="42"/>
  <c r="AC26" i="42"/>
  <c r="AN26" i="42"/>
  <c r="V28" i="42"/>
  <c r="AA24" i="42"/>
  <c r="AB24" i="42"/>
  <c r="AP24" i="42" s="1"/>
  <c r="AC24" i="42"/>
  <c r="AQ24" i="42" s="1"/>
  <c r="AN24" i="42"/>
  <c r="AA23" i="42"/>
  <c r="AB23" i="42"/>
  <c r="AC23" i="42"/>
  <c r="AN23" i="42"/>
  <c r="V25" i="42"/>
  <c r="AA21" i="42"/>
  <c r="AB21" i="42"/>
  <c r="AP21" i="42" s="1"/>
  <c r="AC21" i="42"/>
  <c r="AQ21" i="42" s="1"/>
  <c r="AN21" i="42"/>
  <c r="AA20" i="42"/>
  <c r="AB20" i="42"/>
  <c r="AC20" i="42"/>
  <c r="AN20" i="42"/>
  <c r="V22" i="42"/>
  <c r="AA18" i="42"/>
  <c r="AB18" i="42"/>
  <c r="AP18" i="42" s="1"/>
  <c r="AC18" i="42"/>
  <c r="AQ18" i="42" s="1"/>
  <c r="AN18" i="42"/>
  <c r="AA17" i="42"/>
  <c r="AB17" i="42"/>
  <c r="AC17" i="42"/>
  <c r="AN17" i="42"/>
  <c r="V163" i="42"/>
  <c r="AA16" i="42"/>
  <c r="AB16" i="42"/>
  <c r="AP16" i="42" s="1"/>
  <c r="AC16" i="42"/>
  <c r="AQ16" i="42" s="1"/>
  <c r="AN16" i="42"/>
  <c r="AA15" i="42"/>
  <c r="AB15" i="42"/>
  <c r="AP15" i="42" s="1"/>
  <c r="AC15" i="42"/>
  <c r="AQ15" i="42" s="1"/>
  <c r="AN15" i="42"/>
  <c r="AA14" i="42"/>
  <c r="AB14" i="42"/>
  <c r="AC14" i="42"/>
  <c r="AN14" i="42"/>
  <c r="V158" i="42"/>
  <c r="AA13" i="42"/>
  <c r="AB13" i="42"/>
  <c r="AP13" i="42" s="1"/>
  <c r="AC13" i="42"/>
  <c r="AQ13" i="42" s="1"/>
  <c r="AN13" i="42"/>
  <c r="AS19" i="42"/>
  <c r="AS156" i="42"/>
  <c r="AO19" i="42"/>
  <c r="AO156" i="42"/>
  <c r="AA12" i="42"/>
  <c r="AB12" i="42"/>
  <c r="AC12" i="42"/>
  <c r="AN12" i="42"/>
  <c r="V19" i="42"/>
  <c r="V156" i="42"/>
  <c r="Z153" i="42"/>
  <c r="P153" i="42"/>
  <c r="AB150" i="42"/>
  <c r="AP150" i="42" s="1"/>
  <c r="AA150" i="42"/>
  <c r="AC150" i="42"/>
  <c r="AQ150" i="42" s="1"/>
  <c r="AN150" i="42"/>
  <c r="AC148" i="42"/>
  <c r="AQ148" i="42" s="1"/>
  <c r="AA148" i="42"/>
  <c r="AN148" i="42"/>
  <c r="AB148" i="42"/>
  <c r="AP148" i="42" s="1"/>
  <c r="V146" i="42"/>
  <c r="AB143" i="42"/>
  <c r="AC143" i="42"/>
  <c r="AN143" i="42"/>
  <c r="AA143" i="42"/>
  <c r="AB131" i="42"/>
  <c r="AP131" i="42" s="1"/>
  <c r="AA131" i="42"/>
  <c r="AC131" i="42"/>
  <c r="AQ131" i="42" s="1"/>
  <c r="AN131" i="42"/>
  <c r="AC130" i="42"/>
  <c r="AN130" i="42"/>
  <c r="AA130" i="42"/>
  <c r="AB130" i="42"/>
  <c r="V133" i="42"/>
  <c r="AC113" i="42"/>
  <c r="AQ113" i="42" s="1"/>
  <c r="AA113" i="42"/>
  <c r="AB113" i="42"/>
  <c r="AP113" i="42" s="1"/>
  <c r="AN113" i="42"/>
  <c r="AB111" i="42"/>
  <c r="AP111" i="42" s="1"/>
  <c r="AA111" i="42"/>
  <c r="AC111" i="42"/>
  <c r="AQ111" i="42" s="1"/>
  <c r="AN111" i="42"/>
  <c r="AB105" i="42"/>
  <c r="AP105" i="42" s="1"/>
  <c r="AN105" i="42"/>
  <c r="AA105" i="42"/>
  <c r="AC105" i="42"/>
  <c r="AQ105" i="42" s="1"/>
  <c r="AB104" i="42"/>
  <c r="AN104" i="42"/>
  <c r="V106" i="42"/>
  <c r="AC104" i="42"/>
  <c r="AA104" i="42"/>
  <c r="AN102" i="42"/>
  <c r="AA102" i="42"/>
  <c r="AB102" i="42"/>
  <c r="AP102" i="42" s="1"/>
  <c r="AC102" i="42"/>
  <c r="AQ102" i="42" s="1"/>
  <c r="AA98" i="42"/>
  <c r="AN98" i="42"/>
  <c r="AB98" i="42"/>
  <c r="AP98" i="42" s="1"/>
  <c r="AC98" i="42"/>
  <c r="AQ98" i="42" s="1"/>
  <c r="AB91" i="42"/>
  <c r="AP91" i="42" s="1"/>
  <c r="AA91" i="42"/>
  <c r="AC91" i="42"/>
  <c r="AQ91" i="42" s="1"/>
  <c r="AN91" i="42"/>
  <c r="AA87" i="42"/>
  <c r="AB87" i="42"/>
  <c r="AP87" i="42" s="1"/>
  <c r="AC87" i="42"/>
  <c r="AQ87" i="42" s="1"/>
  <c r="AN87" i="42"/>
  <c r="AC147" i="42"/>
  <c r="AN147" i="42"/>
  <c r="AB147" i="42"/>
  <c r="V151" i="42"/>
  <c r="AA147" i="42"/>
  <c r="AC144" i="42"/>
  <c r="AQ144" i="42" s="1"/>
  <c r="AN144" i="42"/>
  <c r="AA144" i="42"/>
  <c r="AB144" i="42"/>
  <c r="AP144" i="42" s="1"/>
  <c r="AB137" i="42"/>
  <c r="AP137" i="42" s="1"/>
  <c r="AC137" i="42"/>
  <c r="AQ137" i="42" s="1"/>
  <c r="AN137" i="42"/>
  <c r="AA137" i="42"/>
  <c r="AB134" i="42"/>
  <c r="V138" i="42"/>
  <c r="AC134" i="42"/>
  <c r="AN134" i="42"/>
  <c r="AA134" i="42"/>
  <c r="AC119" i="42"/>
  <c r="AQ119" i="42" s="1"/>
  <c r="AN119" i="42"/>
  <c r="AB119" i="42"/>
  <c r="AP119" i="42" s="1"/>
  <c r="AA119" i="42"/>
  <c r="AC118" i="42"/>
  <c r="AQ118" i="42" s="1"/>
  <c r="AA118" i="42"/>
  <c r="AN118" i="42"/>
  <c r="AB118" i="42"/>
  <c r="AP118" i="42" s="1"/>
  <c r="AC112" i="42"/>
  <c r="AQ112" i="42" s="1"/>
  <c r="AN112" i="42"/>
  <c r="AB112" i="42"/>
  <c r="AP112" i="42" s="1"/>
  <c r="AA112" i="42"/>
  <c r="AC108" i="42"/>
  <c r="AQ108" i="42" s="1"/>
  <c r="AN108" i="42"/>
  <c r="AA108" i="42"/>
  <c r="AB108" i="42"/>
  <c r="AP108" i="42" s="1"/>
  <c r="AA100" i="42"/>
  <c r="AC100" i="42"/>
  <c r="V103" i="42"/>
  <c r="AB100" i="42"/>
  <c r="AN100" i="42"/>
  <c r="AC149" i="42"/>
  <c r="AQ149" i="42" s="1"/>
  <c r="AA149" i="42"/>
  <c r="AN149" i="42"/>
  <c r="AB149" i="42"/>
  <c r="AP149" i="42" s="1"/>
  <c r="AB136" i="42"/>
  <c r="AP136" i="42" s="1"/>
  <c r="AN136" i="42"/>
  <c r="AA136" i="42"/>
  <c r="AC136" i="42"/>
  <c r="AQ136" i="42" s="1"/>
  <c r="AC128" i="42"/>
  <c r="AQ128" i="42" s="1"/>
  <c r="AA128" i="42"/>
  <c r="AB128" i="42"/>
  <c r="AP128" i="42" s="1"/>
  <c r="AN128" i="42"/>
  <c r="AC110" i="42"/>
  <c r="AB110" i="42"/>
  <c r="AN110" i="42"/>
  <c r="AA110" i="42"/>
  <c r="V114" i="42"/>
  <c r="AA90" i="42"/>
  <c r="AB90" i="42"/>
  <c r="V92" i="42"/>
  <c r="AN90" i="42"/>
  <c r="AN92" i="42" s="1"/>
  <c r="AC90" i="42"/>
  <c r="AC145" i="42"/>
  <c r="AQ145" i="42" s="1"/>
  <c r="AB145" i="42"/>
  <c r="AP145" i="42" s="1"/>
  <c r="AN145" i="42"/>
  <c r="AA145" i="42"/>
  <c r="AC140" i="42"/>
  <c r="AQ140" i="42" s="1"/>
  <c r="AB140" i="42"/>
  <c r="AP140" i="42" s="1"/>
  <c r="AA140" i="42"/>
  <c r="AN140" i="42"/>
  <c r="AN139" i="42"/>
  <c r="AA139" i="42"/>
  <c r="V142" i="42"/>
  <c r="AB139" i="42"/>
  <c r="AC139" i="42"/>
  <c r="AC132" i="42"/>
  <c r="AQ132" i="42" s="1"/>
  <c r="AN132" i="42"/>
  <c r="AA132" i="42"/>
  <c r="AB132" i="42"/>
  <c r="AP132" i="42" s="1"/>
  <c r="AB121" i="42"/>
  <c r="AC121" i="42"/>
  <c r="V122" i="42"/>
  <c r="AA121" i="42"/>
  <c r="AN121" i="42"/>
  <c r="AN122" i="42" s="1"/>
  <c r="AB117" i="42"/>
  <c r="AN117" i="42"/>
  <c r="AC117" i="42"/>
  <c r="AA117" i="42"/>
  <c r="V120" i="42"/>
  <c r="AN115" i="42"/>
  <c r="AN116" i="42" s="1"/>
  <c r="V116" i="42"/>
  <c r="AC115" i="42"/>
  <c r="AB115" i="42"/>
  <c r="AA115" i="42"/>
  <c r="AB88" i="42"/>
  <c r="AP88" i="42" s="1"/>
  <c r="AA88" i="42"/>
  <c r="AC88" i="42"/>
  <c r="AQ88" i="42" s="1"/>
  <c r="AN88" i="42"/>
  <c r="AR152" i="42"/>
  <c r="AK22" i="47" s="1"/>
  <c r="AS133" i="42"/>
  <c r="AE125" i="42"/>
  <c r="AM125" i="42" s="1"/>
  <c r="AO96" i="42"/>
  <c r="AL89" i="42"/>
  <c r="AL152" i="42" s="1"/>
  <c r="AE22" i="47" s="1"/>
  <c r="AE86" i="42"/>
  <c r="AM86" i="42" s="1"/>
  <c r="Z155" i="42"/>
  <c r="AO142" i="42"/>
  <c r="AO126" i="42"/>
  <c r="AO89" i="42"/>
  <c r="AO163" i="42"/>
  <c r="AL153" i="42"/>
  <c r="AO146" i="42"/>
  <c r="AS103" i="42"/>
  <c r="AE124" i="42"/>
  <c r="AM124" i="42" s="1"/>
  <c r="Z152" i="42"/>
  <c r="S22" i="47" s="1"/>
  <c r="AE94" i="42"/>
  <c r="AM94" i="42" s="1"/>
  <c r="Q152" i="42"/>
  <c r="J22" i="47" s="1"/>
  <c r="AS109" i="42"/>
  <c r="AR153" i="42"/>
  <c r="P152" i="42"/>
  <c r="I22" i="47" s="1"/>
  <c r="AO138" i="42"/>
  <c r="AS126" i="42"/>
  <c r="AS114" i="42"/>
  <c r="AL157" i="42"/>
  <c r="AL155" i="42" s="1"/>
  <c r="AO120" i="42"/>
  <c r="AO114" i="42"/>
  <c r="AO103" i="42"/>
  <c r="AS92" i="42"/>
  <c r="AS163" i="42"/>
  <c r="P155" i="42"/>
  <c r="V154" i="42" s="1"/>
  <c r="AO109" i="42"/>
  <c r="AS138" i="42"/>
  <c r="AS96" i="42"/>
  <c r="AB105" i="41"/>
  <c r="AP105" i="41" s="1"/>
  <c r="AC105" i="41"/>
  <c r="AQ105" i="41" s="1"/>
  <c r="AN105" i="41"/>
  <c r="AA105" i="41"/>
  <c r="AB99" i="41"/>
  <c r="AA99" i="41"/>
  <c r="AN99" i="41"/>
  <c r="V102" i="41"/>
  <c r="AC99" i="41"/>
  <c r="AC91" i="41"/>
  <c r="AQ91" i="41" s="1"/>
  <c r="AN91" i="41"/>
  <c r="AB91" i="41"/>
  <c r="AP91" i="41" s="1"/>
  <c r="AA91" i="41"/>
  <c r="AE91" i="41" s="1"/>
  <c r="AM91" i="41" s="1"/>
  <c r="AB78" i="41"/>
  <c r="AA78" i="41"/>
  <c r="AC78" i="41"/>
  <c r="AN78" i="41"/>
  <c r="V83" i="41"/>
  <c r="AB72" i="41"/>
  <c r="AP72" i="41" s="1"/>
  <c r="AN72" i="41"/>
  <c r="AC72" i="41"/>
  <c r="AQ72" i="41" s="1"/>
  <c r="AA72" i="41"/>
  <c r="AC71" i="41"/>
  <c r="V74" i="41"/>
  <c r="AA71" i="41"/>
  <c r="AB71" i="41"/>
  <c r="AN71" i="41"/>
  <c r="AC66" i="41"/>
  <c r="AQ66" i="41" s="1"/>
  <c r="AN66" i="41"/>
  <c r="AA66" i="41"/>
  <c r="AB66" i="41"/>
  <c r="AP66" i="41" s="1"/>
  <c r="AB65" i="41"/>
  <c r="AN65" i="41"/>
  <c r="AC65" i="41"/>
  <c r="V67" i="41"/>
  <c r="AA65" i="41"/>
  <c r="AB63" i="41"/>
  <c r="AP63" i="41" s="1"/>
  <c r="AA63" i="41"/>
  <c r="AN63" i="41"/>
  <c r="AC63" i="41"/>
  <c r="AQ63" i="41" s="1"/>
  <c r="AC60" i="41"/>
  <c r="AN60" i="41"/>
  <c r="AB60" i="41"/>
  <c r="AA60" i="41"/>
  <c r="V64" i="41"/>
  <c r="AA55" i="41"/>
  <c r="AB55" i="41"/>
  <c r="AC55" i="41"/>
  <c r="AN55" i="41"/>
  <c r="V59" i="41"/>
  <c r="AA53" i="41"/>
  <c r="AB53" i="41"/>
  <c r="AP53" i="41" s="1"/>
  <c r="AC53" i="41"/>
  <c r="AQ53" i="41" s="1"/>
  <c r="AN53" i="41"/>
  <c r="AA52" i="41"/>
  <c r="AB52" i="41"/>
  <c r="AC52" i="41"/>
  <c r="AN52" i="41"/>
  <c r="V54" i="41"/>
  <c r="AA50" i="41"/>
  <c r="AB50" i="41"/>
  <c r="AC50" i="41"/>
  <c r="AN50" i="41"/>
  <c r="AN51" i="41" s="1"/>
  <c r="V51" i="41"/>
  <c r="AA48" i="41"/>
  <c r="AB48" i="41"/>
  <c r="AP48" i="41" s="1"/>
  <c r="AC48" i="41"/>
  <c r="AQ48" i="41" s="1"/>
  <c r="AN48" i="41"/>
  <c r="AA47" i="41"/>
  <c r="AB47" i="41"/>
  <c r="AP47" i="41" s="1"/>
  <c r="AC47" i="41"/>
  <c r="AQ47" i="41" s="1"/>
  <c r="AN47" i="41"/>
  <c r="AA46" i="41"/>
  <c r="AB46" i="41"/>
  <c r="AP46" i="41" s="1"/>
  <c r="AC46" i="41"/>
  <c r="AQ46" i="41" s="1"/>
  <c r="AN46" i="41"/>
  <c r="AA45" i="41"/>
  <c r="AB45" i="41"/>
  <c r="AP45" i="41" s="1"/>
  <c r="AC45" i="41"/>
  <c r="AQ45" i="41" s="1"/>
  <c r="AN45" i="41"/>
  <c r="AA44" i="41"/>
  <c r="AB44" i="41"/>
  <c r="AC44" i="41"/>
  <c r="AN44" i="41"/>
  <c r="AN49" i="41" s="1"/>
  <c r="V49" i="41"/>
  <c r="AA42" i="41"/>
  <c r="AB42" i="41"/>
  <c r="AP42" i="41" s="1"/>
  <c r="AC42" i="41"/>
  <c r="AQ42" i="41" s="1"/>
  <c r="AN42" i="41"/>
  <c r="AA41" i="41"/>
  <c r="AB41" i="41"/>
  <c r="AP41" i="41" s="1"/>
  <c r="AC41" i="41"/>
  <c r="AQ41" i="41" s="1"/>
  <c r="AN41" i="41"/>
  <c r="AA40" i="41"/>
  <c r="AB40" i="41"/>
  <c r="AP40" i="41" s="1"/>
  <c r="AC40" i="41"/>
  <c r="AQ40" i="41" s="1"/>
  <c r="AN40" i="41"/>
  <c r="AA39" i="41"/>
  <c r="AB39" i="41"/>
  <c r="AC39" i="41"/>
  <c r="AN39" i="41"/>
  <c r="AN43" i="41" s="1"/>
  <c r="V43" i="41"/>
  <c r="AA37" i="41"/>
  <c r="AB37" i="41"/>
  <c r="AP37" i="41" s="1"/>
  <c r="AC37" i="41"/>
  <c r="AQ37" i="41" s="1"/>
  <c r="AN37" i="41"/>
  <c r="AA36" i="41"/>
  <c r="AB36" i="41"/>
  <c r="AP36" i="41" s="1"/>
  <c r="AC36" i="41"/>
  <c r="AQ36" i="41" s="1"/>
  <c r="AN36" i="41"/>
  <c r="AA35" i="41"/>
  <c r="AB35" i="41"/>
  <c r="AP35" i="41" s="1"/>
  <c r="AC35" i="41"/>
  <c r="AQ35" i="41" s="1"/>
  <c r="AN35" i="41"/>
  <c r="AA34" i="41"/>
  <c r="AB34" i="41"/>
  <c r="AC34" i="41"/>
  <c r="AN34" i="41"/>
  <c r="AN38" i="41" s="1"/>
  <c r="V38" i="41"/>
  <c r="AA32" i="41"/>
  <c r="AB32" i="41"/>
  <c r="AP32" i="41" s="1"/>
  <c r="AC32" i="41"/>
  <c r="AQ32" i="41" s="1"/>
  <c r="AN32" i="41"/>
  <c r="AA31" i="41"/>
  <c r="AB31" i="41"/>
  <c r="AP31" i="41" s="1"/>
  <c r="AC31" i="41"/>
  <c r="AQ31" i="41" s="1"/>
  <c r="AN31" i="41"/>
  <c r="AA30" i="41"/>
  <c r="AB30" i="41"/>
  <c r="AC30" i="41"/>
  <c r="AN30" i="41"/>
  <c r="V115" i="41"/>
  <c r="AA29" i="41"/>
  <c r="AB29" i="41"/>
  <c r="AC29" i="41"/>
  <c r="AN29" i="41"/>
  <c r="V33" i="41"/>
  <c r="AS28" i="41"/>
  <c r="AS120" i="41"/>
  <c r="AO28" i="41"/>
  <c r="AO120" i="41"/>
  <c r="AA27" i="41"/>
  <c r="AB27" i="41"/>
  <c r="AC27" i="41"/>
  <c r="AN27" i="41"/>
  <c r="V28" i="41"/>
  <c r="V120" i="41"/>
  <c r="AA25" i="41"/>
  <c r="AB25" i="41"/>
  <c r="AP25" i="41" s="1"/>
  <c r="AC25" i="41"/>
  <c r="AQ25" i="41" s="1"/>
  <c r="AN25" i="41"/>
  <c r="AA24" i="41"/>
  <c r="AB24" i="41"/>
  <c r="AP24" i="41" s="1"/>
  <c r="AC24" i="41"/>
  <c r="AQ24" i="41" s="1"/>
  <c r="AN24" i="41"/>
  <c r="AA23" i="41"/>
  <c r="AB23" i="41"/>
  <c r="AP23" i="41" s="1"/>
  <c r="AC23" i="41"/>
  <c r="AQ23" i="41" s="1"/>
  <c r="AN23" i="41"/>
  <c r="AA22" i="41"/>
  <c r="AB22" i="41"/>
  <c r="AP22" i="41" s="1"/>
  <c r="AC22" i="41"/>
  <c r="AQ22" i="41" s="1"/>
  <c r="AN22" i="41"/>
  <c r="AA21" i="41"/>
  <c r="AB21" i="41"/>
  <c r="AC21" i="41"/>
  <c r="AN21" i="41"/>
  <c r="V26" i="41"/>
  <c r="AA19" i="41"/>
  <c r="AB19" i="41"/>
  <c r="AC19" i="41"/>
  <c r="AN19" i="41"/>
  <c r="V119" i="41"/>
  <c r="AS18" i="41"/>
  <c r="AS20" i="41" s="1"/>
  <c r="AL113" i="41"/>
  <c r="AL111" i="41" s="1"/>
  <c r="AA18" i="41"/>
  <c r="AB18" i="41"/>
  <c r="AP18" i="41" s="1"/>
  <c r="AC18" i="41"/>
  <c r="AQ18" i="41" s="1"/>
  <c r="AN18" i="41"/>
  <c r="AA17" i="41"/>
  <c r="AB17" i="41"/>
  <c r="AP17" i="41" s="1"/>
  <c r="AC17" i="41"/>
  <c r="AQ17" i="41" s="1"/>
  <c r="AN17" i="41"/>
  <c r="AO20" i="41"/>
  <c r="AO113" i="41"/>
  <c r="AA16" i="41"/>
  <c r="AB16" i="41"/>
  <c r="AC16" i="41"/>
  <c r="AN16" i="41"/>
  <c r="V20" i="41"/>
  <c r="V113" i="41"/>
  <c r="AA14" i="41"/>
  <c r="AB14" i="41"/>
  <c r="AP14" i="41" s="1"/>
  <c r="AC14" i="41"/>
  <c r="AQ14" i="41" s="1"/>
  <c r="AN14" i="41"/>
  <c r="AA13" i="41"/>
  <c r="AB13" i="41"/>
  <c r="AP13" i="41" s="1"/>
  <c r="AC13" i="41"/>
  <c r="AQ13" i="41" s="1"/>
  <c r="AN13" i="41"/>
  <c r="AS15" i="41"/>
  <c r="AS112" i="41"/>
  <c r="AO15" i="41"/>
  <c r="AO112" i="41"/>
  <c r="AA12" i="41"/>
  <c r="AB12" i="41"/>
  <c r="AC12" i="41"/>
  <c r="AN12" i="41"/>
  <c r="V15" i="41"/>
  <c r="V112" i="41"/>
  <c r="V98" i="41"/>
  <c r="AB96" i="41"/>
  <c r="AA96" i="41"/>
  <c r="AC96" i="41"/>
  <c r="AN96" i="41"/>
  <c r="AC89" i="41"/>
  <c r="AB89" i="41"/>
  <c r="V95" i="41"/>
  <c r="AA89" i="41"/>
  <c r="AN89" i="41"/>
  <c r="AQ84" i="41"/>
  <c r="AE84" i="41"/>
  <c r="AB81" i="41"/>
  <c r="AP81" i="41" s="1"/>
  <c r="AA81" i="41"/>
  <c r="AC81" i="41"/>
  <c r="AQ81" i="41" s="1"/>
  <c r="AN81" i="41"/>
  <c r="AC75" i="41"/>
  <c r="V77" i="41"/>
  <c r="AN75" i="41"/>
  <c r="AB75" i="41"/>
  <c r="AA75" i="41"/>
  <c r="AC73" i="41"/>
  <c r="AQ73" i="41" s="1"/>
  <c r="AA73" i="41"/>
  <c r="AB73" i="41"/>
  <c r="AP73" i="41" s="1"/>
  <c r="AN73" i="41"/>
  <c r="AA69" i="41"/>
  <c r="AN69" i="41"/>
  <c r="AB69" i="41"/>
  <c r="AP69" i="41" s="1"/>
  <c r="AC69" i="41"/>
  <c r="AQ69" i="41" s="1"/>
  <c r="AC58" i="41"/>
  <c r="AQ58" i="41" s="1"/>
  <c r="AN58" i="41"/>
  <c r="AB58" i="41"/>
  <c r="AP58" i="41" s="1"/>
  <c r="AA58" i="41"/>
  <c r="P109" i="41"/>
  <c r="Z109" i="41"/>
  <c r="AA106" i="41"/>
  <c r="AC106" i="41"/>
  <c r="AQ106" i="41" s="1"/>
  <c r="AN106" i="41"/>
  <c r="AB106" i="41"/>
  <c r="AP106" i="41" s="1"/>
  <c r="AA101" i="41"/>
  <c r="AN101" i="41"/>
  <c r="AC101" i="41"/>
  <c r="AQ101" i="41" s="1"/>
  <c r="AB101" i="41"/>
  <c r="AP101" i="41" s="1"/>
  <c r="AB93" i="41"/>
  <c r="AP93" i="41" s="1"/>
  <c r="AC93" i="41"/>
  <c r="AQ93" i="41" s="1"/>
  <c r="AA93" i="41"/>
  <c r="AN93" i="41"/>
  <c r="AB86" i="41"/>
  <c r="AP86" i="41" s="1"/>
  <c r="AN86" i="41"/>
  <c r="AA86" i="41"/>
  <c r="AC86" i="41"/>
  <c r="AQ86" i="41" s="1"/>
  <c r="AB82" i="41"/>
  <c r="AN82" i="41"/>
  <c r="AN121" i="41" s="1"/>
  <c r="AA82" i="41"/>
  <c r="V121" i="41"/>
  <c r="AC82" i="41"/>
  <c r="AC103" i="41"/>
  <c r="AA103" i="41"/>
  <c r="AB103" i="41"/>
  <c r="AN103" i="41"/>
  <c r="V107" i="41"/>
  <c r="AP84" i="41"/>
  <c r="AC79" i="41"/>
  <c r="AQ79" i="41" s="1"/>
  <c r="AB79" i="41"/>
  <c r="AP79" i="41" s="1"/>
  <c r="AN79" i="41"/>
  <c r="AA79" i="41"/>
  <c r="AN62" i="41"/>
  <c r="AB62" i="41"/>
  <c r="AP62" i="41" s="1"/>
  <c r="AC62" i="41"/>
  <c r="AQ62" i="41" s="1"/>
  <c r="AA62" i="41"/>
  <c r="AB61" i="41"/>
  <c r="AP61" i="41" s="1"/>
  <c r="AN61" i="41"/>
  <c r="AA61" i="41"/>
  <c r="AC61" i="41"/>
  <c r="AQ61" i="41" s="1"/>
  <c r="AC56" i="41"/>
  <c r="AQ56" i="41" s="1"/>
  <c r="AB56" i="41"/>
  <c r="AP56" i="41" s="1"/>
  <c r="AN56" i="41"/>
  <c r="AA56" i="41"/>
  <c r="AA100" i="41"/>
  <c r="AN100" i="41"/>
  <c r="AC100" i="41"/>
  <c r="AQ100" i="41" s="1"/>
  <c r="AB100" i="41"/>
  <c r="AP100" i="41" s="1"/>
  <c r="AB97" i="41"/>
  <c r="AP97" i="41" s="1"/>
  <c r="AA97" i="41"/>
  <c r="AC97" i="41"/>
  <c r="AQ97" i="41" s="1"/>
  <c r="AN97" i="41"/>
  <c r="AA92" i="41"/>
  <c r="AB92" i="41"/>
  <c r="AP92" i="41" s="1"/>
  <c r="AN92" i="41"/>
  <c r="AC92" i="41"/>
  <c r="AQ92" i="41" s="1"/>
  <c r="AA87" i="41"/>
  <c r="AC87" i="41"/>
  <c r="AQ87" i="41" s="1"/>
  <c r="AB87" i="41"/>
  <c r="AP87" i="41" s="1"/>
  <c r="AN87" i="41"/>
  <c r="AA80" i="41"/>
  <c r="AC80" i="41"/>
  <c r="AQ80" i="41" s="1"/>
  <c r="AN80" i="41"/>
  <c r="AB80" i="41"/>
  <c r="AP80" i="41" s="1"/>
  <c r="AC76" i="41"/>
  <c r="AQ76" i="41" s="1"/>
  <c r="AB76" i="41"/>
  <c r="AP76" i="41" s="1"/>
  <c r="AA76" i="41"/>
  <c r="AN76" i="41"/>
  <c r="AC68" i="41"/>
  <c r="AN68" i="41"/>
  <c r="AB68" i="41"/>
  <c r="AA68" i="41"/>
  <c r="V70" i="41"/>
  <c r="AC57" i="41"/>
  <c r="AQ57" i="41" s="1"/>
  <c r="AA57" i="41"/>
  <c r="AB57" i="41"/>
  <c r="AP57" i="41" s="1"/>
  <c r="AN57" i="41"/>
  <c r="AR109" i="41"/>
  <c r="AE104" i="41"/>
  <c r="AM104" i="41" s="1"/>
  <c r="AS102" i="41"/>
  <c r="AO102" i="41"/>
  <c r="AO98" i="41"/>
  <c r="AE94" i="41"/>
  <c r="AM94" i="41" s="1"/>
  <c r="AE90" i="41"/>
  <c r="AM90" i="41" s="1"/>
  <c r="AO77" i="41"/>
  <c r="AO74" i="41"/>
  <c r="AO70" i="41"/>
  <c r="AS67" i="41"/>
  <c r="AS59" i="41"/>
  <c r="AS115" i="41"/>
  <c r="AO115" i="41"/>
  <c r="AR108" i="41"/>
  <c r="AK21" i="47" s="1"/>
  <c r="P108" i="41"/>
  <c r="AR111" i="41"/>
  <c r="AO88" i="41"/>
  <c r="AS83" i="41"/>
  <c r="AL20" i="41"/>
  <c r="AL108" i="41" s="1"/>
  <c r="AE21" i="47" s="1"/>
  <c r="AS74" i="41"/>
  <c r="AO119" i="41"/>
  <c r="V88" i="41"/>
  <c r="AS119" i="41"/>
  <c r="AS107" i="41"/>
  <c r="AO83" i="41"/>
  <c r="AS95" i="41"/>
  <c r="AO59" i="41"/>
  <c r="Z108" i="41"/>
  <c r="S21" i="47" s="1"/>
  <c r="AO67" i="41"/>
  <c r="AA123" i="40"/>
  <c r="V126" i="40"/>
  <c r="AC123" i="40"/>
  <c r="AN123" i="40"/>
  <c r="AB123" i="40"/>
  <c r="AB108" i="40"/>
  <c r="AP108" i="40" s="1"/>
  <c r="AN108" i="40"/>
  <c r="AC108" i="40"/>
  <c r="AQ108" i="40" s="1"/>
  <c r="AA108" i="40"/>
  <c r="AA107" i="40"/>
  <c r="AN107" i="40"/>
  <c r="AC107" i="40"/>
  <c r="AQ107" i="40" s="1"/>
  <c r="AB107" i="40"/>
  <c r="AP107" i="40" s="1"/>
  <c r="AP94" i="40"/>
  <c r="AB91" i="40"/>
  <c r="V93" i="40"/>
  <c r="AC91" i="40"/>
  <c r="AA91" i="40"/>
  <c r="AN91" i="40"/>
  <c r="AA88" i="40"/>
  <c r="AN88" i="40"/>
  <c r="AC88" i="40"/>
  <c r="AB88" i="40"/>
  <c r="V90" i="40"/>
  <c r="AA84" i="40"/>
  <c r="AB84" i="40"/>
  <c r="AP84" i="40" s="1"/>
  <c r="AC84" i="40"/>
  <c r="AQ84" i="40" s="1"/>
  <c r="AN84" i="40"/>
  <c r="AA83" i="40"/>
  <c r="AB83" i="40"/>
  <c r="AP83" i="40" s="1"/>
  <c r="AC83" i="40"/>
  <c r="AQ83" i="40" s="1"/>
  <c r="AN83" i="40"/>
  <c r="AA82" i="40"/>
  <c r="AB82" i="40"/>
  <c r="AC82" i="40"/>
  <c r="AN82" i="40"/>
  <c r="V85" i="40"/>
  <c r="AA80" i="40"/>
  <c r="AB80" i="40"/>
  <c r="AP80" i="40" s="1"/>
  <c r="AC80" i="40"/>
  <c r="AQ80" i="40" s="1"/>
  <c r="AN80" i="40"/>
  <c r="AA79" i="40"/>
  <c r="AB79" i="40"/>
  <c r="AC79" i="40"/>
  <c r="AN79" i="40"/>
  <c r="AN81" i="40" s="1"/>
  <c r="V81" i="40"/>
  <c r="AA77" i="40"/>
  <c r="AB77" i="40"/>
  <c r="AP77" i="40" s="1"/>
  <c r="AC77" i="40"/>
  <c r="AQ77" i="40" s="1"/>
  <c r="AN77" i="40"/>
  <c r="AA76" i="40"/>
  <c r="AB76" i="40"/>
  <c r="AP76" i="40" s="1"/>
  <c r="AC76" i="40"/>
  <c r="AQ76" i="40" s="1"/>
  <c r="AN76" i="40"/>
  <c r="AA75" i="40"/>
  <c r="AB75" i="40"/>
  <c r="AC75" i="40"/>
  <c r="AN75" i="40"/>
  <c r="V78" i="40"/>
  <c r="AA73" i="40"/>
  <c r="AB73" i="40"/>
  <c r="AP73" i="40" s="1"/>
  <c r="AC73" i="40"/>
  <c r="AQ73" i="40" s="1"/>
  <c r="AN73" i="40"/>
  <c r="AA72" i="40"/>
  <c r="AB72" i="40"/>
  <c r="AC72" i="40"/>
  <c r="AN72" i="40"/>
  <c r="V74" i="40"/>
  <c r="AA70" i="40"/>
  <c r="AB70" i="40"/>
  <c r="AP70" i="40" s="1"/>
  <c r="AC70" i="40"/>
  <c r="AQ70" i="40" s="1"/>
  <c r="AN70" i="40"/>
  <c r="AA69" i="40"/>
  <c r="AB69" i="40"/>
  <c r="AP69" i="40" s="1"/>
  <c r="AC69" i="40"/>
  <c r="AQ69" i="40" s="1"/>
  <c r="AN69" i="40"/>
  <c r="AA68" i="40"/>
  <c r="AB68" i="40"/>
  <c r="AP68" i="40" s="1"/>
  <c r="AC68" i="40"/>
  <c r="AQ68" i="40" s="1"/>
  <c r="AN68" i="40"/>
  <c r="AA67" i="40"/>
  <c r="AB67" i="40"/>
  <c r="AC67" i="40"/>
  <c r="AN67" i="40"/>
  <c r="AN71" i="40" s="1"/>
  <c r="V71" i="40"/>
  <c r="AA65" i="40"/>
  <c r="AB65" i="40"/>
  <c r="AP65" i="40" s="1"/>
  <c r="AC65" i="40"/>
  <c r="AQ65" i="40" s="1"/>
  <c r="AN65" i="40"/>
  <c r="AA64" i="40"/>
  <c r="AB64" i="40"/>
  <c r="AP64" i="40" s="1"/>
  <c r="AC64" i="40"/>
  <c r="AQ64" i="40" s="1"/>
  <c r="AN64" i="40"/>
  <c r="AA63" i="40"/>
  <c r="AB63" i="40"/>
  <c r="AP63" i="40" s="1"/>
  <c r="AC63" i="40"/>
  <c r="AQ63" i="40" s="1"/>
  <c r="AN63" i="40"/>
  <c r="AA62" i="40"/>
  <c r="AB62" i="40"/>
  <c r="AC62" i="40"/>
  <c r="AN62" i="40"/>
  <c r="AN66" i="40" s="1"/>
  <c r="V66" i="40"/>
  <c r="AA60" i="40"/>
  <c r="AB60" i="40"/>
  <c r="AP60" i="40" s="1"/>
  <c r="AC60" i="40"/>
  <c r="AQ60" i="40" s="1"/>
  <c r="AN60" i="40"/>
  <c r="AA59" i="40"/>
  <c r="AB59" i="40"/>
  <c r="AP59" i="40" s="1"/>
  <c r="AC59" i="40"/>
  <c r="AQ59" i="40" s="1"/>
  <c r="AN59" i="40"/>
  <c r="AA58" i="40"/>
  <c r="AB58" i="40"/>
  <c r="AP58" i="40" s="1"/>
  <c r="AC58" i="40"/>
  <c r="AQ58" i="40" s="1"/>
  <c r="AN58" i="40"/>
  <c r="AA57" i="40"/>
  <c r="AB57" i="40"/>
  <c r="AC57" i="40"/>
  <c r="AN57" i="40"/>
  <c r="V61" i="40"/>
  <c r="AA55" i="40"/>
  <c r="AB55" i="40"/>
  <c r="AP55" i="40" s="1"/>
  <c r="AC55" i="40"/>
  <c r="AQ55" i="40" s="1"/>
  <c r="AN55" i="40"/>
  <c r="AA54" i="40"/>
  <c r="AB54" i="40"/>
  <c r="AP54" i="40" s="1"/>
  <c r="AC54" i="40"/>
  <c r="AQ54" i="40" s="1"/>
  <c r="AN54" i="40"/>
  <c r="AA53" i="40"/>
  <c r="AB53" i="40"/>
  <c r="AP53" i="40" s="1"/>
  <c r="AC53" i="40"/>
  <c r="AQ53" i="40" s="1"/>
  <c r="AN53" i="40"/>
  <c r="AA52" i="40"/>
  <c r="AB52" i="40"/>
  <c r="AC52" i="40"/>
  <c r="AN52" i="40"/>
  <c r="V56" i="40"/>
  <c r="AA50" i="40"/>
  <c r="AB50" i="40"/>
  <c r="AP50" i="40" s="1"/>
  <c r="AC50" i="40"/>
  <c r="AQ50" i="40" s="1"/>
  <c r="AN50" i="40"/>
  <c r="AA49" i="40"/>
  <c r="AB49" i="40"/>
  <c r="AP49" i="40" s="1"/>
  <c r="AC49" i="40"/>
  <c r="AQ49" i="40" s="1"/>
  <c r="AN49" i="40"/>
  <c r="AA48" i="40"/>
  <c r="AB48" i="40"/>
  <c r="AC48" i="40"/>
  <c r="AN48" i="40"/>
  <c r="V137" i="40"/>
  <c r="AA47" i="40"/>
  <c r="AB47" i="40"/>
  <c r="AC47" i="40"/>
  <c r="AN47" i="40"/>
  <c r="V51" i="40"/>
  <c r="AS46" i="40"/>
  <c r="AS142" i="40"/>
  <c r="AO46" i="40"/>
  <c r="AO142" i="40"/>
  <c r="AA45" i="40"/>
  <c r="AB45" i="40"/>
  <c r="AC45" i="40"/>
  <c r="AN45" i="40"/>
  <c r="V46" i="40"/>
  <c r="V142" i="40"/>
  <c r="AA43" i="40"/>
  <c r="AB43" i="40"/>
  <c r="AP43" i="40" s="1"/>
  <c r="AC43" i="40"/>
  <c r="AQ43" i="40" s="1"/>
  <c r="AN43" i="40"/>
  <c r="AA42" i="40"/>
  <c r="AB42" i="40"/>
  <c r="AP42" i="40" s="1"/>
  <c r="AC42" i="40"/>
  <c r="AQ42" i="40" s="1"/>
  <c r="AN42" i="40"/>
  <c r="AA41" i="40"/>
  <c r="AB41" i="40"/>
  <c r="AP41" i="40" s="1"/>
  <c r="AC41" i="40"/>
  <c r="AQ41" i="40" s="1"/>
  <c r="AN41" i="40"/>
  <c r="AA40" i="40"/>
  <c r="AB40" i="40"/>
  <c r="AP40" i="40" s="1"/>
  <c r="AC40" i="40"/>
  <c r="AQ40" i="40" s="1"/>
  <c r="AN40" i="40"/>
  <c r="AA39" i="40"/>
  <c r="AB39" i="40"/>
  <c r="AC39" i="40"/>
  <c r="AN39" i="40"/>
  <c r="V44" i="40"/>
  <c r="AA37" i="40"/>
  <c r="AB37" i="40"/>
  <c r="AP37" i="40" s="1"/>
  <c r="AC37" i="40"/>
  <c r="AQ37" i="40" s="1"/>
  <c r="AN37" i="40"/>
  <c r="AA36" i="40"/>
  <c r="AB36" i="40"/>
  <c r="AP36" i="40" s="1"/>
  <c r="AC36" i="40"/>
  <c r="AQ36" i="40" s="1"/>
  <c r="AN36" i="40"/>
  <c r="AA35" i="40"/>
  <c r="AB35" i="40"/>
  <c r="AP35" i="40" s="1"/>
  <c r="AC35" i="40"/>
  <c r="AQ35" i="40" s="1"/>
  <c r="AN35" i="40"/>
  <c r="AA34" i="40"/>
  <c r="AB34" i="40"/>
  <c r="AC34" i="40"/>
  <c r="AN34" i="40"/>
  <c r="V38" i="40"/>
  <c r="AA32" i="40"/>
  <c r="AB32" i="40"/>
  <c r="AP32" i="40" s="1"/>
  <c r="AC32" i="40"/>
  <c r="AQ32" i="40" s="1"/>
  <c r="AN32" i="40"/>
  <c r="AA31" i="40"/>
  <c r="AB31" i="40"/>
  <c r="AP31" i="40" s="1"/>
  <c r="AC31" i="40"/>
  <c r="AQ31" i="40" s="1"/>
  <c r="AN31" i="40"/>
  <c r="AA30" i="40"/>
  <c r="AB30" i="40"/>
  <c r="AP30" i="40" s="1"/>
  <c r="AC30" i="40"/>
  <c r="AQ30" i="40" s="1"/>
  <c r="AN30" i="40"/>
  <c r="AS33" i="40"/>
  <c r="AS136" i="40"/>
  <c r="AO33" i="40"/>
  <c r="AO136" i="40"/>
  <c r="AA29" i="40"/>
  <c r="AB29" i="40"/>
  <c r="AC29" i="40"/>
  <c r="AN29" i="40"/>
  <c r="V33" i="40"/>
  <c r="V136" i="40"/>
  <c r="AA27" i="40"/>
  <c r="AB27" i="40"/>
  <c r="AC27" i="40"/>
  <c r="AN27" i="40"/>
  <c r="V141" i="40"/>
  <c r="AA26" i="40"/>
  <c r="AB26" i="40"/>
  <c r="AC26" i="40"/>
  <c r="AN26" i="40"/>
  <c r="AN138" i="40" s="1"/>
  <c r="V138" i="40"/>
  <c r="AS25" i="40"/>
  <c r="AS28" i="40" s="1"/>
  <c r="AL135" i="40"/>
  <c r="AL133" i="40" s="1"/>
  <c r="AA25" i="40"/>
  <c r="AB25" i="40"/>
  <c r="AP25" i="40" s="1"/>
  <c r="AC25" i="40"/>
  <c r="AQ25" i="40" s="1"/>
  <c r="AN25" i="40"/>
  <c r="AA24" i="40"/>
  <c r="AB24" i="40"/>
  <c r="AP24" i="40" s="1"/>
  <c r="AC24" i="40"/>
  <c r="AQ24" i="40" s="1"/>
  <c r="AN24" i="40"/>
  <c r="AS135" i="40"/>
  <c r="AO28" i="40"/>
  <c r="AO135" i="40"/>
  <c r="AA23" i="40"/>
  <c r="AB23" i="40"/>
  <c r="AC23" i="40"/>
  <c r="AN23" i="40"/>
  <c r="V28" i="40"/>
  <c r="V135" i="40"/>
  <c r="AS22" i="40"/>
  <c r="AS143" i="40"/>
  <c r="AO22" i="40"/>
  <c r="AO143" i="40"/>
  <c r="AA21" i="40"/>
  <c r="AB21" i="40"/>
  <c r="AC21" i="40"/>
  <c r="AN21" i="40"/>
  <c r="V22" i="40"/>
  <c r="V143" i="40"/>
  <c r="AA19" i="40"/>
  <c r="AB19" i="40"/>
  <c r="AP19" i="40" s="1"/>
  <c r="AC19" i="40"/>
  <c r="AQ19" i="40" s="1"/>
  <c r="AN19" i="40"/>
  <c r="AA18" i="40"/>
  <c r="AB18" i="40"/>
  <c r="AC18" i="40"/>
  <c r="AN18" i="40"/>
  <c r="AN20" i="40" s="1"/>
  <c r="V20" i="40"/>
  <c r="AA16" i="40"/>
  <c r="AB16" i="40"/>
  <c r="AP16" i="40" s="1"/>
  <c r="AC16" i="40"/>
  <c r="AQ16" i="40" s="1"/>
  <c r="AN16" i="40"/>
  <c r="AA15" i="40"/>
  <c r="AB15" i="40"/>
  <c r="AC15" i="40"/>
  <c r="AN15" i="40"/>
  <c r="V17" i="40"/>
  <c r="AC116" i="40"/>
  <c r="AQ116" i="40" s="1"/>
  <c r="AB116" i="40"/>
  <c r="AP116" i="40" s="1"/>
  <c r="AN116" i="40"/>
  <c r="AA116" i="40"/>
  <c r="AB110" i="40"/>
  <c r="V114" i="40"/>
  <c r="AA110" i="40"/>
  <c r="AC110" i="40"/>
  <c r="AN110" i="40"/>
  <c r="AC105" i="40"/>
  <c r="V109" i="40"/>
  <c r="AA105" i="40"/>
  <c r="AN105" i="40"/>
  <c r="AB105" i="40"/>
  <c r="AB100" i="40"/>
  <c r="AP100" i="40" s="1"/>
  <c r="AN100" i="40"/>
  <c r="AA100" i="40"/>
  <c r="AC100" i="40"/>
  <c r="AQ100" i="40" s="1"/>
  <c r="AB96" i="40"/>
  <c r="AP96" i="40" s="1"/>
  <c r="AA96" i="40"/>
  <c r="AN96" i="40"/>
  <c r="AC96" i="40"/>
  <c r="AQ96" i="40" s="1"/>
  <c r="AN95" i="40"/>
  <c r="AB95" i="40"/>
  <c r="AP95" i="40" s="1"/>
  <c r="AA95" i="40"/>
  <c r="AC95" i="40"/>
  <c r="AQ95" i="40" s="1"/>
  <c r="AA92" i="40"/>
  <c r="AN92" i="40"/>
  <c r="AB92" i="40"/>
  <c r="AP92" i="40" s="1"/>
  <c r="AC92" i="40"/>
  <c r="AQ92" i="40" s="1"/>
  <c r="AA13" i="40"/>
  <c r="AB13" i="40"/>
  <c r="AP13" i="40" s="1"/>
  <c r="AC13" i="40"/>
  <c r="AQ13" i="40" s="1"/>
  <c r="AN13" i="40"/>
  <c r="AS14" i="40"/>
  <c r="AS134" i="40"/>
  <c r="AO14" i="40"/>
  <c r="AO134" i="40"/>
  <c r="AA12" i="40"/>
  <c r="AB12" i="40"/>
  <c r="AC12" i="40"/>
  <c r="AN12" i="40"/>
  <c r="V14" i="40"/>
  <c r="V134" i="40"/>
  <c r="P131" i="40"/>
  <c r="Z131" i="40"/>
  <c r="AA128" i="40"/>
  <c r="AC128" i="40"/>
  <c r="AQ128" i="40" s="1"/>
  <c r="AN128" i="40"/>
  <c r="AB128" i="40"/>
  <c r="AP128" i="40" s="1"/>
  <c r="AB106" i="40"/>
  <c r="AP106" i="40" s="1"/>
  <c r="AN106" i="40"/>
  <c r="AA106" i="40"/>
  <c r="AC106" i="40"/>
  <c r="AQ106" i="40" s="1"/>
  <c r="AA102" i="40"/>
  <c r="AB102" i="40"/>
  <c r="AN102" i="40"/>
  <c r="AC102" i="40"/>
  <c r="V104" i="40"/>
  <c r="AE94" i="40"/>
  <c r="V129" i="40"/>
  <c r="AA127" i="40"/>
  <c r="AN127" i="40"/>
  <c r="AC127" i="40"/>
  <c r="AB127" i="40"/>
  <c r="AB121" i="40"/>
  <c r="AP121" i="40" s="1"/>
  <c r="AC121" i="40"/>
  <c r="AQ121" i="40" s="1"/>
  <c r="AN121" i="40"/>
  <c r="AA121" i="40"/>
  <c r="AC120" i="40"/>
  <c r="AA120" i="40"/>
  <c r="V122" i="40"/>
  <c r="AB120" i="40"/>
  <c r="AN120" i="40"/>
  <c r="AC118" i="40"/>
  <c r="AQ118" i="40" s="1"/>
  <c r="AA118" i="40"/>
  <c r="AB118" i="40"/>
  <c r="AP118" i="40" s="1"/>
  <c r="AN118" i="40"/>
  <c r="AB111" i="40"/>
  <c r="AP111" i="40" s="1"/>
  <c r="AC111" i="40"/>
  <c r="AQ111" i="40" s="1"/>
  <c r="AN111" i="40"/>
  <c r="AA111" i="40"/>
  <c r="AC103" i="40"/>
  <c r="AQ103" i="40" s="1"/>
  <c r="AN103" i="40"/>
  <c r="AA103" i="40"/>
  <c r="AB103" i="40"/>
  <c r="AP103" i="40" s="1"/>
  <c r="AC99" i="40"/>
  <c r="AN99" i="40"/>
  <c r="AN101" i="40" s="1"/>
  <c r="AB99" i="40"/>
  <c r="V101" i="40"/>
  <c r="AA99" i="40"/>
  <c r="AQ94" i="40"/>
  <c r="AA125" i="40"/>
  <c r="AN125" i="40"/>
  <c r="AC125" i="40"/>
  <c r="AQ125" i="40" s="1"/>
  <c r="AB125" i="40"/>
  <c r="AP125" i="40" s="1"/>
  <c r="AB124" i="40"/>
  <c r="AP124" i="40" s="1"/>
  <c r="AN124" i="40"/>
  <c r="AA124" i="40"/>
  <c r="AC124" i="40"/>
  <c r="AQ124" i="40" s="1"/>
  <c r="AN117" i="40"/>
  <c r="AB117" i="40"/>
  <c r="AP117" i="40" s="1"/>
  <c r="AC117" i="40"/>
  <c r="AQ117" i="40" s="1"/>
  <c r="AA117" i="40"/>
  <c r="AC115" i="40"/>
  <c r="AA115" i="40"/>
  <c r="AN115" i="40"/>
  <c r="AB115" i="40"/>
  <c r="V119" i="40"/>
  <c r="AA113" i="40"/>
  <c r="AC113" i="40"/>
  <c r="AQ113" i="40" s="1"/>
  <c r="AN113" i="40"/>
  <c r="AB113" i="40"/>
  <c r="AP113" i="40" s="1"/>
  <c r="AA112" i="40"/>
  <c r="AN112" i="40"/>
  <c r="AB112" i="40"/>
  <c r="AP112" i="40" s="1"/>
  <c r="AC112" i="40"/>
  <c r="AQ112" i="40" s="1"/>
  <c r="AC97" i="40"/>
  <c r="AQ97" i="40" s="1"/>
  <c r="AA97" i="40"/>
  <c r="AN97" i="40"/>
  <c r="AB97" i="40"/>
  <c r="AP97" i="40" s="1"/>
  <c r="AC89" i="40"/>
  <c r="AQ89" i="40" s="1"/>
  <c r="AA89" i="40"/>
  <c r="AN89" i="40"/>
  <c r="AB89" i="40"/>
  <c r="AP89" i="40" s="1"/>
  <c r="AC86" i="40"/>
  <c r="AA86" i="40"/>
  <c r="V87" i="40"/>
  <c r="AB86" i="40"/>
  <c r="AN86" i="40"/>
  <c r="AN87" i="40" s="1"/>
  <c r="AO71" i="40"/>
  <c r="AL38" i="40"/>
  <c r="Z133" i="40"/>
  <c r="AO129" i="40"/>
  <c r="AO109" i="40"/>
  <c r="AO98" i="40"/>
  <c r="AO126" i="40"/>
  <c r="AS119" i="40"/>
  <c r="AO114" i="40"/>
  <c r="AS109" i="40"/>
  <c r="AO101" i="40"/>
  <c r="AS98" i="40"/>
  <c r="AS141" i="40"/>
  <c r="AR133" i="40"/>
  <c r="P130" i="40"/>
  <c r="I20" i="47" s="1"/>
  <c r="AO137" i="40"/>
  <c r="AS129" i="40"/>
  <c r="AS126" i="40"/>
  <c r="AO119" i="40"/>
  <c r="AL44" i="40"/>
  <c r="AL28" i="40"/>
  <c r="P133" i="40"/>
  <c r="V132" i="40" s="1"/>
  <c r="AS122" i="40"/>
  <c r="Z130" i="40"/>
  <c r="S20" i="47" s="1"/>
  <c r="AS137" i="40"/>
  <c r="AO141" i="40"/>
  <c r="AC87" i="39"/>
  <c r="AQ87" i="39" s="1"/>
  <c r="AB87" i="39"/>
  <c r="AP87" i="39" s="1"/>
  <c r="AA87" i="39"/>
  <c r="AN87" i="39"/>
  <c r="AC82" i="39"/>
  <c r="AQ82" i="39" s="1"/>
  <c r="AN82" i="39"/>
  <c r="AB82" i="39"/>
  <c r="AP82" i="39" s="1"/>
  <c r="AA82" i="39"/>
  <c r="AB75" i="39"/>
  <c r="V79" i="39"/>
  <c r="AA75" i="39"/>
  <c r="AC75" i="39"/>
  <c r="AN75" i="39"/>
  <c r="AB72" i="39"/>
  <c r="AP72" i="39" s="1"/>
  <c r="AN72" i="39"/>
  <c r="AA72" i="39"/>
  <c r="AC72" i="39"/>
  <c r="AQ72" i="39" s="1"/>
  <c r="AB68" i="39"/>
  <c r="AP68" i="39" s="1"/>
  <c r="AN68" i="39"/>
  <c r="AC68" i="39"/>
  <c r="AQ68" i="39" s="1"/>
  <c r="AA68" i="39"/>
  <c r="AC67" i="39"/>
  <c r="AQ67" i="39" s="1"/>
  <c r="AN67" i="39"/>
  <c r="AA67" i="39"/>
  <c r="AB67" i="39"/>
  <c r="AP67" i="39" s="1"/>
  <c r="AC65" i="39"/>
  <c r="AB65" i="39"/>
  <c r="V69" i="39"/>
  <c r="AA65" i="39"/>
  <c r="AN65" i="39"/>
  <c r="AA63" i="39"/>
  <c r="AB63" i="39"/>
  <c r="AP63" i="39" s="1"/>
  <c r="AC63" i="39"/>
  <c r="AQ63" i="39" s="1"/>
  <c r="AN63" i="39"/>
  <c r="AA62" i="39"/>
  <c r="AB62" i="39"/>
  <c r="AP62" i="39" s="1"/>
  <c r="AC62" i="39"/>
  <c r="AQ62" i="39" s="1"/>
  <c r="AN62" i="39"/>
  <c r="AA61" i="39"/>
  <c r="AB61" i="39"/>
  <c r="AP61" i="39" s="1"/>
  <c r="AC61" i="39"/>
  <c r="AQ61" i="39" s="1"/>
  <c r="AN61" i="39"/>
  <c r="AA60" i="39"/>
  <c r="AB60" i="39"/>
  <c r="AC60" i="39"/>
  <c r="AN60" i="39"/>
  <c r="V64" i="39"/>
  <c r="AA58" i="39"/>
  <c r="AB58" i="39"/>
  <c r="AP58" i="39" s="1"/>
  <c r="AC58" i="39"/>
  <c r="AQ58" i="39" s="1"/>
  <c r="AN58" i="39"/>
  <c r="AA57" i="39"/>
  <c r="AB57" i="39"/>
  <c r="AP57" i="39" s="1"/>
  <c r="AC57" i="39"/>
  <c r="AQ57" i="39" s="1"/>
  <c r="AN57" i="39"/>
  <c r="AA56" i="39"/>
  <c r="AB56" i="39"/>
  <c r="AP56" i="39" s="1"/>
  <c r="AC56" i="39"/>
  <c r="AQ56" i="39" s="1"/>
  <c r="AN56" i="39"/>
  <c r="AA55" i="39"/>
  <c r="AB55" i="39"/>
  <c r="AC55" i="39"/>
  <c r="AN55" i="39"/>
  <c r="V59" i="39"/>
  <c r="AA53" i="39"/>
  <c r="AB53" i="39"/>
  <c r="AP53" i="39" s="1"/>
  <c r="AC53" i="39"/>
  <c r="AQ53" i="39" s="1"/>
  <c r="AN53" i="39"/>
  <c r="AA52" i="39"/>
  <c r="AB52" i="39"/>
  <c r="AP52" i="39" s="1"/>
  <c r="AC52" i="39"/>
  <c r="AQ52" i="39" s="1"/>
  <c r="AN52" i="39"/>
  <c r="AA51" i="39"/>
  <c r="AB51" i="39"/>
  <c r="AP51" i="39" s="1"/>
  <c r="AC51" i="39"/>
  <c r="AQ51" i="39" s="1"/>
  <c r="AN51" i="39"/>
  <c r="AA50" i="39"/>
  <c r="AB50" i="39"/>
  <c r="AC50" i="39"/>
  <c r="AN50" i="39"/>
  <c r="V54" i="39"/>
  <c r="AA48" i="39"/>
  <c r="AB48" i="39"/>
  <c r="AC48" i="39"/>
  <c r="AN48" i="39"/>
  <c r="AN49" i="39" s="1"/>
  <c r="V49" i="39"/>
  <c r="AA46" i="39"/>
  <c r="AB46" i="39"/>
  <c r="AP46" i="39" s="1"/>
  <c r="AC46" i="39"/>
  <c r="AQ46" i="39" s="1"/>
  <c r="AN46" i="39"/>
  <c r="AA45" i="39"/>
  <c r="AB45" i="39"/>
  <c r="AP45" i="39" s="1"/>
  <c r="AC45" i="39"/>
  <c r="AQ45" i="39" s="1"/>
  <c r="AN45" i="39"/>
  <c r="AA44" i="39"/>
  <c r="AB44" i="39"/>
  <c r="AP44" i="39" s="1"/>
  <c r="AC44" i="39"/>
  <c r="AQ44" i="39" s="1"/>
  <c r="AN44" i="39"/>
  <c r="AA43" i="39"/>
  <c r="AB43" i="39"/>
  <c r="AC43" i="39"/>
  <c r="AN43" i="39"/>
  <c r="V47" i="39"/>
  <c r="AA41" i="39"/>
  <c r="AB41" i="39"/>
  <c r="AP41" i="39" s="1"/>
  <c r="AC41" i="39"/>
  <c r="AQ41" i="39" s="1"/>
  <c r="AN41" i="39"/>
  <c r="AA40" i="39"/>
  <c r="AB40" i="39"/>
  <c r="AC40" i="39"/>
  <c r="AN40" i="39"/>
  <c r="V42" i="39"/>
  <c r="AA38" i="39"/>
  <c r="AB38" i="39"/>
  <c r="AC38" i="39"/>
  <c r="AN38" i="39"/>
  <c r="AN39" i="39" s="1"/>
  <c r="V39" i="39"/>
  <c r="AS37" i="39"/>
  <c r="AS109" i="39"/>
  <c r="AO37" i="39"/>
  <c r="AO109" i="39"/>
  <c r="AA36" i="39"/>
  <c r="AB36" i="39"/>
  <c r="AC36" i="39"/>
  <c r="AN36" i="39"/>
  <c r="V37" i="39"/>
  <c r="V109" i="39"/>
  <c r="AA34" i="39"/>
  <c r="AB34" i="39"/>
  <c r="AP34" i="39" s="1"/>
  <c r="AC34" i="39"/>
  <c r="AQ34" i="39" s="1"/>
  <c r="AN34" i="39"/>
  <c r="AA33" i="39"/>
  <c r="AB33" i="39"/>
  <c r="AP33" i="39" s="1"/>
  <c r="AC33" i="39"/>
  <c r="AQ33" i="39" s="1"/>
  <c r="AN33" i="39"/>
  <c r="AA32" i="39"/>
  <c r="AB32" i="39"/>
  <c r="AP32" i="39" s="1"/>
  <c r="AC32" i="39"/>
  <c r="AQ32" i="39" s="1"/>
  <c r="AN32" i="39"/>
  <c r="AS35" i="39"/>
  <c r="AS103" i="39"/>
  <c r="AO35" i="39"/>
  <c r="AO103" i="39"/>
  <c r="AA31" i="39"/>
  <c r="AB31" i="39"/>
  <c r="AC31" i="39"/>
  <c r="AN31" i="39"/>
  <c r="V35" i="39"/>
  <c r="V103" i="39"/>
  <c r="AA29" i="39"/>
  <c r="AB29" i="39"/>
  <c r="AP29" i="39" s="1"/>
  <c r="AC29" i="39"/>
  <c r="AQ29" i="39" s="1"/>
  <c r="AN29" i="39"/>
  <c r="AA28" i="39"/>
  <c r="AB28" i="39"/>
  <c r="AP28" i="39" s="1"/>
  <c r="AC28" i="39"/>
  <c r="AQ28" i="39" s="1"/>
  <c r="AN28" i="39"/>
  <c r="AA27" i="39"/>
  <c r="AB27" i="39"/>
  <c r="AP27" i="39" s="1"/>
  <c r="AC27" i="39"/>
  <c r="AQ27" i="39" s="1"/>
  <c r="AN27" i="39"/>
  <c r="AA26" i="39"/>
  <c r="AB26" i="39"/>
  <c r="AC26" i="39"/>
  <c r="AN26" i="39"/>
  <c r="AN30" i="39" s="1"/>
  <c r="V30" i="39"/>
  <c r="AA24" i="39"/>
  <c r="AB24" i="39"/>
  <c r="AP24" i="39" s="1"/>
  <c r="AC24" i="39"/>
  <c r="AQ24" i="39" s="1"/>
  <c r="AN24" i="39"/>
  <c r="AA23" i="39"/>
  <c r="AB23" i="39"/>
  <c r="AP23" i="39" s="1"/>
  <c r="AC23" i="39"/>
  <c r="AQ23" i="39" s="1"/>
  <c r="AN23" i="39"/>
  <c r="AS25" i="39"/>
  <c r="AS104" i="39"/>
  <c r="AO25" i="39"/>
  <c r="AO104" i="39"/>
  <c r="AA22" i="39"/>
  <c r="AB22" i="39"/>
  <c r="AC22" i="39"/>
  <c r="AN22" i="39"/>
  <c r="V25" i="39"/>
  <c r="V104" i="39"/>
  <c r="AA20" i="39"/>
  <c r="AB20" i="39"/>
  <c r="AC20" i="39"/>
  <c r="AN20" i="39"/>
  <c r="V108" i="39"/>
  <c r="AA19" i="39"/>
  <c r="AB19" i="39"/>
  <c r="AP19" i="39" s="1"/>
  <c r="AC19" i="39"/>
  <c r="AQ19" i="39" s="1"/>
  <c r="AN19" i="39"/>
  <c r="AS21" i="39"/>
  <c r="AS102" i="39"/>
  <c r="AO21" i="39"/>
  <c r="AO102" i="39"/>
  <c r="AA18" i="39"/>
  <c r="AB18" i="39"/>
  <c r="AC18" i="39"/>
  <c r="AN18" i="39"/>
  <c r="V21" i="39"/>
  <c r="V102" i="39"/>
  <c r="AS16" i="39"/>
  <c r="AS101" i="39" s="1"/>
  <c r="AL101" i="39"/>
  <c r="AA16" i="39"/>
  <c r="AB16" i="39"/>
  <c r="AP16" i="39" s="1"/>
  <c r="AC16" i="39"/>
  <c r="AQ16" i="39" s="1"/>
  <c r="AN16" i="39"/>
  <c r="AA15" i="39"/>
  <c r="AB15" i="39"/>
  <c r="AP15" i="39" s="1"/>
  <c r="AC15" i="39"/>
  <c r="AQ15" i="39" s="1"/>
  <c r="AN15" i="39"/>
  <c r="AO17" i="39"/>
  <c r="AO101" i="39"/>
  <c r="AA14" i="39"/>
  <c r="AB14" i="39"/>
  <c r="AC14" i="39"/>
  <c r="AN14" i="39"/>
  <c r="V17" i="39"/>
  <c r="V101" i="39"/>
  <c r="AS13" i="39"/>
  <c r="AS110" i="39"/>
  <c r="AO13" i="39"/>
  <c r="AO110" i="39"/>
  <c r="AA12" i="39"/>
  <c r="AB12" i="39"/>
  <c r="AC12" i="39"/>
  <c r="AN12" i="39"/>
  <c r="V13" i="39"/>
  <c r="V110" i="39"/>
  <c r="AA95" i="39"/>
  <c r="AC95" i="39"/>
  <c r="AQ95" i="39" s="1"/>
  <c r="AB95" i="39"/>
  <c r="AP95" i="39" s="1"/>
  <c r="AN95" i="39"/>
  <c r="AC93" i="39"/>
  <c r="AN93" i="39"/>
  <c r="AB93" i="39"/>
  <c r="V96" i="39"/>
  <c r="AA93" i="39"/>
  <c r="AC70" i="39"/>
  <c r="V74" i="39"/>
  <c r="AN70" i="39"/>
  <c r="AB70" i="39"/>
  <c r="AA70" i="39"/>
  <c r="P98" i="39"/>
  <c r="Z98" i="39"/>
  <c r="AB94" i="39"/>
  <c r="AP94" i="39" s="1"/>
  <c r="AC94" i="39"/>
  <c r="AQ94" i="39" s="1"/>
  <c r="AN94" i="39"/>
  <c r="AA94" i="39"/>
  <c r="AB81" i="39"/>
  <c r="AP81" i="39" s="1"/>
  <c r="AA81" i="39"/>
  <c r="AC81" i="39"/>
  <c r="AQ81" i="39" s="1"/>
  <c r="AN81" i="39"/>
  <c r="AB80" i="39"/>
  <c r="AN80" i="39"/>
  <c r="AC80" i="39"/>
  <c r="V84" i="39"/>
  <c r="AA80" i="39"/>
  <c r="AC91" i="39"/>
  <c r="AQ91" i="39" s="1"/>
  <c r="AA91" i="39"/>
  <c r="AB91" i="39"/>
  <c r="AP91" i="39" s="1"/>
  <c r="AN91" i="39"/>
  <c r="AC90" i="39"/>
  <c r="V92" i="39"/>
  <c r="AA90" i="39"/>
  <c r="AB90" i="39"/>
  <c r="AN90" i="39"/>
  <c r="AN92" i="39" s="1"/>
  <c r="AA88" i="39"/>
  <c r="AB88" i="39"/>
  <c r="AP88" i="39" s="1"/>
  <c r="AC88" i="39"/>
  <c r="AQ88" i="39" s="1"/>
  <c r="AN88" i="39"/>
  <c r="AB86" i="39"/>
  <c r="AP86" i="39" s="1"/>
  <c r="AN86" i="39"/>
  <c r="AA86" i="39"/>
  <c r="AC86" i="39"/>
  <c r="AQ86" i="39" s="1"/>
  <c r="AB78" i="39"/>
  <c r="AP78" i="39" s="1"/>
  <c r="AA78" i="39"/>
  <c r="AC78" i="39"/>
  <c r="AQ78" i="39" s="1"/>
  <c r="AN78" i="39"/>
  <c r="AC77" i="39"/>
  <c r="AQ77" i="39" s="1"/>
  <c r="AN77" i="39"/>
  <c r="AA77" i="39"/>
  <c r="AB77" i="39"/>
  <c r="AP77" i="39" s="1"/>
  <c r="AB85" i="39"/>
  <c r="AC85" i="39"/>
  <c r="AN85" i="39"/>
  <c r="V89" i="39"/>
  <c r="AA85" i="39"/>
  <c r="AB83" i="39"/>
  <c r="AP83" i="39" s="1"/>
  <c r="AN83" i="39"/>
  <c r="AA83" i="39"/>
  <c r="AC83" i="39"/>
  <c r="AQ83" i="39" s="1"/>
  <c r="AB76" i="39"/>
  <c r="AP76" i="39" s="1"/>
  <c r="AC76" i="39"/>
  <c r="AQ76" i="39" s="1"/>
  <c r="AN76" i="39"/>
  <c r="AA76" i="39"/>
  <c r="AE76" i="39" s="1"/>
  <c r="AM76" i="39" s="1"/>
  <c r="AB73" i="39"/>
  <c r="AP73" i="39" s="1"/>
  <c r="AC73" i="39"/>
  <c r="AQ73" i="39" s="1"/>
  <c r="AN73" i="39"/>
  <c r="AA73" i="39"/>
  <c r="AB66" i="39"/>
  <c r="AP66" i="39" s="1"/>
  <c r="AC66" i="39"/>
  <c r="AQ66" i="39" s="1"/>
  <c r="AA66" i="39"/>
  <c r="AN66" i="39"/>
  <c r="AS108" i="39"/>
  <c r="AS92" i="39"/>
  <c r="AS79" i="39"/>
  <c r="AO69" i="39"/>
  <c r="AO108" i="39"/>
  <c r="AO74" i="39"/>
  <c r="AE71" i="39"/>
  <c r="AM71" i="39" s="1"/>
  <c r="P97" i="39"/>
  <c r="I19" i="47" s="1"/>
  <c r="AS89" i="39"/>
  <c r="AS74" i="39"/>
  <c r="AS64" i="39"/>
  <c r="AR97" i="39"/>
  <c r="AK19" i="47" s="1"/>
  <c r="AO96" i="39"/>
  <c r="AO92" i="39"/>
  <c r="AO79" i="39"/>
  <c r="AL17" i="39"/>
  <c r="AR100" i="39"/>
  <c r="Z97" i="39"/>
  <c r="S19" i="47" s="1"/>
  <c r="AL98" i="39"/>
  <c r="AS69" i="39"/>
  <c r="AB213" i="32"/>
  <c r="AC213" i="32"/>
  <c r="AA213" i="32"/>
  <c r="V217" i="32"/>
  <c r="AN213" i="32"/>
  <c r="AC206" i="32"/>
  <c r="AQ206" i="32" s="1"/>
  <c r="AN206" i="32"/>
  <c r="AB206" i="32"/>
  <c r="AP206" i="32" s="1"/>
  <c r="AA206" i="32"/>
  <c r="AE206" i="32" s="1"/>
  <c r="AM206" i="32" s="1"/>
  <c r="AB190" i="32"/>
  <c r="AC190" i="32"/>
  <c r="AN190" i="32"/>
  <c r="AA190" i="32"/>
  <c r="V192" i="32"/>
  <c r="AB188" i="32"/>
  <c r="AP188" i="32" s="1"/>
  <c r="AN188" i="32"/>
  <c r="AC188" i="32"/>
  <c r="AQ188" i="32" s="1"/>
  <c r="AA188" i="32"/>
  <c r="AE188" i="32" s="1"/>
  <c r="AM188" i="32" s="1"/>
  <c r="AA183" i="32"/>
  <c r="AB183" i="32"/>
  <c r="AP183" i="32" s="1"/>
  <c r="AC183" i="32"/>
  <c r="AQ183" i="32" s="1"/>
  <c r="AN183" i="32"/>
  <c r="AA182" i="32"/>
  <c r="AB182" i="32"/>
  <c r="AC182" i="32"/>
  <c r="AN182" i="32"/>
  <c r="AN184" i="32" s="1"/>
  <c r="V184" i="32"/>
  <c r="AA180" i="32"/>
  <c r="AB180" i="32"/>
  <c r="AP180" i="32" s="1"/>
  <c r="AC180" i="32"/>
  <c r="AQ180" i="32" s="1"/>
  <c r="AN180" i="32"/>
  <c r="AA179" i="32"/>
  <c r="AB179" i="32"/>
  <c r="AP179" i="32" s="1"/>
  <c r="AC179" i="32"/>
  <c r="AQ179" i="32" s="1"/>
  <c r="AN179" i="32"/>
  <c r="AA178" i="32"/>
  <c r="AB178" i="32"/>
  <c r="AP178" i="32" s="1"/>
  <c r="AC178" i="32"/>
  <c r="AQ178" i="32" s="1"/>
  <c r="AN178" i="32"/>
  <c r="AA177" i="32"/>
  <c r="AB177" i="32"/>
  <c r="AC177" i="32"/>
  <c r="AN177" i="32"/>
  <c r="AN181" i="32" s="1"/>
  <c r="V181" i="32"/>
  <c r="AA175" i="32"/>
  <c r="AB175" i="32"/>
  <c r="AP175" i="32" s="1"/>
  <c r="AC175" i="32"/>
  <c r="AQ175" i="32" s="1"/>
  <c r="AN175" i="32"/>
  <c r="AA174" i="32"/>
  <c r="AB174" i="32"/>
  <c r="AP174" i="32" s="1"/>
  <c r="AC174" i="32"/>
  <c r="AQ174" i="32" s="1"/>
  <c r="AN174" i="32"/>
  <c r="AA173" i="32"/>
  <c r="AB173" i="32"/>
  <c r="AP173" i="32" s="1"/>
  <c r="AC173" i="32"/>
  <c r="AQ173" i="32" s="1"/>
  <c r="AN173" i="32"/>
  <c r="AA172" i="32"/>
  <c r="AB172" i="32"/>
  <c r="AC172" i="32"/>
  <c r="AN172" i="32"/>
  <c r="V176" i="32"/>
  <c r="AA170" i="32"/>
  <c r="AB170" i="32"/>
  <c r="AP170" i="32" s="1"/>
  <c r="AC170" i="32"/>
  <c r="AQ170" i="32" s="1"/>
  <c r="AN170" i="32"/>
  <c r="AA169" i="32"/>
  <c r="AB169" i="32"/>
  <c r="AC169" i="32"/>
  <c r="AN169" i="32"/>
  <c r="AN171" i="32" s="1"/>
  <c r="V171" i="32"/>
  <c r="AA167" i="32"/>
  <c r="AB167" i="32"/>
  <c r="AC167" i="32"/>
  <c r="AN167" i="32"/>
  <c r="AN168" i="32" s="1"/>
  <c r="V168" i="32"/>
  <c r="AA165" i="32"/>
  <c r="AB165" i="32"/>
  <c r="AP165" i="32" s="1"/>
  <c r="AC165" i="32"/>
  <c r="AQ165" i="32" s="1"/>
  <c r="AN165" i="32"/>
  <c r="AA164" i="32"/>
  <c r="AB164" i="32"/>
  <c r="AP164" i="32" s="1"/>
  <c r="AC164" i="32"/>
  <c r="AQ164" i="32" s="1"/>
  <c r="AN164" i="32"/>
  <c r="AA163" i="32"/>
  <c r="AB163" i="32"/>
  <c r="AP163" i="32" s="1"/>
  <c r="AC163" i="32"/>
  <c r="AQ163" i="32" s="1"/>
  <c r="AN163" i="32"/>
  <c r="AA162" i="32"/>
  <c r="AB162" i="32"/>
  <c r="AP162" i="32" s="1"/>
  <c r="AC162" i="32"/>
  <c r="AQ162" i="32" s="1"/>
  <c r="AN162" i="32"/>
  <c r="AA161" i="32"/>
  <c r="AB161" i="32"/>
  <c r="AP161" i="32" s="1"/>
  <c r="AC161" i="32"/>
  <c r="AQ161" i="32" s="1"/>
  <c r="AN161" i="32"/>
  <c r="AA160" i="32"/>
  <c r="AB160" i="32"/>
  <c r="AP160" i="32" s="1"/>
  <c r="AC160" i="32"/>
  <c r="AQ160" i="32" s="1"/>
  <c r="AN160" i="32"/>
  <c r="AA159" i="32"/>
  <c r="AB159" i="32"/>
  <c r="AC159" i="32"/>
  <c r="AN159" i="32"/>
  <c r="AN166" i="32" s="1"/>
  <c r="V166" i="32"/>
  <c r="AA157" i="32"/>
  <c r="AB157" i="32"/>
  <c r="AP157" i="32" s="1"/>
  <c r="AC157" i="32"/>
  <c r="AQ157" i="32" s="1"/>
  <c r="AN157" i="32"/>
  <c r="AA156" i="32"/>
  <c r="AB156" i="32"/>
  <c r="AP156" i="32" s="1"/>
  <c r="AC156" i="32"/>
  <c r="AQ156" i="32" s="1"/>
  <c r="AN156" i="32"/>
  <c r="AA155" i="32"/>
  <c r="AB155" i="32"/>
  <c r="AC155" i="32"/>
  <c r="AN155" i="32"/>
  <c r="AN158" i="32" s="1"/>
  <c r="V158" i="32"/>
  <c r="AA153" i="32"/>
  <c r="AB153" i="32"/>
  <c r="AP153" i="32" s="1"/>
  <c r="AC153" i="32"/>
  <c r="AQ153" i="32" s="1"/>
  <c r="AN153" i="32"/>
  <c r="AA152" i="32"/>
  <c r="AB152" i="32"/>
  <c r="AC152" i="32"/>
  <c r="AN152" i="32"/>
  <c r="AN154" i="32" s="1"/>
  <c r="V154" i="32"/>
  <c r="AA150" i="32"/>
  <c r="AB150" i="32"/>
  <c r="AP150" i="32" s="1"/>
  <c r="AC150" i="32"/>
  <c r="AQ150" i="32" s="1"/>
  <c r="AN150" i="32"/>
  <c r="AA149" i="32"/>
  <c r="AB149" i="32"/>
  <c r="AP149" i="32" s="1"/>
  <c r="AC149" i="32"/>
  <c r="AQ149" i="32" s="1"/>
  <c r="AN149" i="32"/>
  <c r="AA148" i="32"/>
  <c r="AB148" i="32"/>
  <c r="AP148" i="32" s="1"/>
  <c r="AC148" i="32"/>
  <c r="AQ148" i="32" s="1"/>
  <c r="AN148" i="32"/>
  <c r="AA147" i="32"/>
  <c r="AB147" i="32"/>
  <c r="AC147" i="32"/>
  <c r="AN147" i="32"/>
  <c r="AN151" i="32" s="1"/>
  <c r="V151" i="32"/>
  <c r="AA145" i="32"/>
  <c r="AE145" i="32" s="1"/>
  <c r="AM145" i="32" s="1"/>
  <c r="AB145" i="32"/>
  <c r="AP145" i="32" s="1"/>
  <c r="AC145" i="32"/>
  <c r="AQ145" i="32" s="1"/>
  <c r="AN145" i="32"/>
  <c r="AA144" i="32"/>
  <c r="AB144" i="32"/>
  <c r="AP144" i="32" s="1"/>
  <c r="AC144" i="32"/>
  <c r="AQ144" i="32" s="1"/>
  <c r="AN144" i="32"/>
  <c r="AA143" i="32"/>
  <c r="AB143" i="32"/>
  <c r="AC143" i="32"/>
  <c r="AN143" i="32"/>
  <c r="AN146" i="32" s="1"/>
  <c r="V146" i="32"/>
  <c r="AA141" i="32"/>
  <c r="AB141" i="32"/>
  <c r="AP141" i="32" s="1"/>
  <c r="AC141" i="32"/>
  <c r="AQ141" i="32" s="1"/>
  <c r="AN141" i="32"/>
  <c r="AA140" i="32"/>
  <c r="AB140" i="32"/>
  <c r="AC140" i="32"/>
  <c r="AN140" i="32"/>
  <c r="AN142" i="32" s="1"/>
  <c r="V142" i="32"/>
  <c r="AA138" i="32"/>
  <c r="AB138" i="32"/>
  <c r="AP138" i="32" s="1"/>
  <c r="AC138" i="32"/>
  <c r="AQ138" i="32" s="1"/>
  <c r="AN138" i="32"/>
  <c r="AA137" i="32"/>
  <c r="AB137" i="32"/>
  <c r="AP137" i="32" s="1"/>
  <c r="AC137" i="32"/>
  <c r="AQ137" i="32" s="1"/>
  <c r="AN137" i="32"/>
  <c r="AA136" i="32"/>
  <c r="AB136" i="32"/>
  <c r="AP136" i="32" s="1"/>
  <c r="AC136" i="32"/>
  <c r="AQ136" i="32" s="1"/>
  <c r="AN136" i="32"/>
  <c r="AA135" i="32"/>
  <c r="AB135" i="32"/>
  <c r="AC135" i="32"/>
  <c r="AN135" i="32"/>
  <c r="AN139" i="32" s="1"/>
  <c r="V139" i="32"/>
  <c r="AA133" i="32"/>
  <c r="AB133" i="32"/>
  <c r="AP133" i="32" s="1"/>
  <c r="AC133" i="32"/>
  <c r="AQ133" i="32" s="1"/>
  <c r="AN133" i="32"/>
  <c r="AA132" i="32"/>
  <c r="AB132" i="32"/>
  <c r="AP132" i="32" s="1"/>
  <c r="AC132" i="32"/>
  <c r="AQ132" i="32" s="1"/>
  <c r="AN132" i="32"/>
  <c r="AA131" i="32"/>
  <c r="AB131" i="32"/>
  <c r="AP131" i="32" s="1"/>
  <c r="AC131" i="32"/>
  <c r="AQ131" i="32" s="1"/>
  <c r="AN131" i="32"/>
  <c r="AA130" i="32"/>
  <c r="AB130" i="32"/>
  <c r="AC130" i="32"/>
  <c r="AN130" i="32"/>
  <c r="AN134" i="32" s="1"/>
  <c r="V134" i="32"/>
  <c r="AA128" i="32"/>
  <c r="AB128" i="32"/>
  <c r="AP128" i="32" s="1"/>
  <c r="AC128" i="32"/>
  <c r="AQ128" i="32" s="1"/>
  <c r="AN128" i="32"/>
  <c r="AA127" i="32"/>
  <c r="AB127" i="32"/>
  <c r="AP127" i="32" s="1"/>
  <c r="AC127" i="32"/>
  <c r="AQ127" i="32" s="1"/>
  <c r="AN127" i="32"/>
  <c r="AA126" i="32"/>
  <c r="AB126" i="32"/>
  <c r="AP126" i="32" s="1"/>
  <c r="AC126" i="32"/>
  <c r="AQ126" i="32" s="1"/>
  <c r="AN126" i="32"/>
  <c r="AA125" i="32"/>
  <c r="AB125" i="32"/>
  <c r="AC125" i="32"/>
  <c r="AN125" i="32"/>
  <c r="AN129" i="32" s="1"/>
  <c r="V129" i="32"/>
  <c r="AA123" i="32"/>
  <c r="AB123" i="32"/>
  <c r="AP123" i="32" s="1"/>
  <c r="AC123" i="32"/>
  <c r="AQ123" i="32" s="1"/>
  <c r="AN123" i="32"/>
  <c r="AA122" i="32"/>
  <c r="AB122" i="32"/>
  <c r="AP122" i="32" s="1"/>
  <c r="AC122" i="32"/>
  <c r="AQ122" i="32" s="1"/>
  <c r="AN122" i="32"/>
  <c r="AA121" i="32"/>
  <c r="AB121" i="32"/>
  <c r="AP121" i="32" s="1"/>
  <c r="AC121" i="32"/>
  <c r="AQ121" i="32" s="1"/>
  <c r="AN121" i="32"/>
  <c r="AA120" i="32"/>
  <c r="AB120" i="32"/>
  <c r="AC120" i="32"/>
  <c r="AN120" i="32"/>
  <c r="AN124" i="32" s="1"/>
  <c r="V124" i="32"/>
  <c r="AA118" i="32"/>
  <c r="AB118" i="32"/>
  <c r="AP118" i="32" s="1"/>
  <c r="AC118" i="32"/>
  <c r="AQ118" i="32" s="1"/>
  <c r="AN118" i="32"/>
  <c r="AA117" i="32"/>
  <c r="AB117" i="32"/>
  <c r="AC117" i="32"/>
  <c r="AN117" i="32"/>
  <c r="AN119" i="32" s="1"/>
  <c r="V119" i="32"/>
  <c r="AN220" i="32"/>
  <c r="AA220" i="32"/>
  <c r="AC220" i="32"/>
  <c r="AQ220" i="32" s="1"/>
  <c r="AB220" i="32"/>
  <c r="AP220" i="32" s="1"/>
  <c r="AC218" i="32"/>
  <c r="AN218" i="32"/>
  <c r="AB218" i="32"/>
  <c r="V222" i="32"/>
  <c r="AA218" i="32"/>
  <c r="AC214" i="32"/>
  <c r="AQ214" i="32" s="1"/>
  <c r="AN214" i="32"/>
  <c r="AB214" i="32"/>
  <c r="AP214" i="32" s="1"/>
  <c r="AA214" i="32"/>
  <c r="AE214" i="32" s="1"/>
  <c r="AM214" i="32" s="1"/>
  <c r="AC196" i="32"/>
  <c r="AQ196" i="32" s="1"/>
  <c r="AB196" i="32"/>
  <c r="AP196" i="32" s="1"/>
  <c r="AN196" i="32"/>
  <c r="AA196" i="32"/>
  <c r="AE196" i="32" s="1"/>
  <c r="AM196" i="32" s="1"/>
  <c r="AB195" i="32"/>
  <c r="AP195" i="32" s="1"/>
  <c r="AN195" i="32"/>
  <c r="AA195" i="32"/>
  <c r="AC195" i="32"/>
  <c r="AQ195" i="32" s="1"/>
  <c r="AB187" i="32"/>
  <c r="AP187" i="32" s="1"/>
  <c r="AN187" i="32"/>
  <c r="AA187" i="32"/>
  <c r="AC187" i="32"/>
  <c r="AQ187" i="32" s="1"/>
  <c r="AC185" i="32"/>
  <c r="AB185" i="32"/>
  <c r="V189" i="32"/>
  <c r="AN185" i="32"/>
  <c r="AA185" i="32"/>
  <c r="AA115" i="32"/>
  <c r="AB115" i="32"/>
  <c r="AC115" i="32"/>
  <c r="AN115" i="32"/>
  <c r="AN116" i="32" s="1"/>
  <c r="V116" i="32"/>
  <c r="AA113" i="32"/>
  <c r="AB113" i="32"/>
  <c r="AP113" i="32" s="1"/>
  <c r="AC113" i="32"/>
  <c r="AQ113" i="32" s="1"/>
  <c r="AN113" i="32"/>
  <c r="AA112" i="32"/>
  <c r="AB112" i="32"/>
  <c r="AP112" i="32" s="1"/>
  <c r="AC112" i="32"/>
  <c r="AQ112" i="32" s="1"/>
  <c r="AN112" i="32"/>
  <c r="AA111" i="32"/>
  <c r="AB111" i="32"/>
  <c r="AP111" i="32" s="1"/>
  <c r="AC111" i="32"/>
  <c r="AQ111" i="32" s="1"/>
  <c r="AN111" i="32"/>
  <c r="AA110" i="32"/>
  <c r="AB110" i="32"/>
  <c r="AC110" i="32"/>
  <c r="AN110" i="32"/>
  <c r="AN114" i="32" s="1"/>
  <c r="V114" i="32"/>
  <c r="AA108" i="32"/>
  <c r="AE108" i="32" s="1"/>
  <c r="AM108" i="32" s="1"/>
  <c r="AB108" i="32"/>
  <c r="AP108" i="32" s="1"/>
  <c r="AC108" i="32"/>
  <c r="AQ108" i="32" s="1"/>
  <c r="AN108" i="32"/>
  <c r="AA107" i="32"/>
  <c r="AE107" i="32" s="1"/>
  <c r="AM107" i="32" s="1"/>
  <c r="AB107" i="32"/>
  <c r="AP107" i="32" s="1"/>
  <c r="AC107" i="32"/>
  <c r="AQ107" i="32" s="1"/>
  <c r="AN107" i="32"/>
  <c r="AA106" i="32"/>
  <c r="AB106" i="32"/>
  <c r="AP106" i="32" s="1"/>
  <c r="AC106" i="32"/>
  <c r="AQ106" i="32" s="1"/>
  <c r="AN106" i="32"/>
  <c r="AA105" i="32"/>
  <c r="AB105" i="32"/>
  <c r="AC105" i="32"/>
  <c r="AN105" i="32"/>
  <c r="AN109" i="32" s="1"/>
  <c r="V109" i="32"/>
  <c r="AA103" i="32"/>
  <c r="AB103" i="32"/>
  <c r="AP103" i="32" s="1"/>
  <c r="AC103" i="32"/>
  <c r="AQ103" i="32" s="1"/>
  <c r="AN103" i="32"/>
  <c r="AA102" i="32"/>
  <c r="AB102" i="32"/>
  <c r="AP102" i="32" s="1"/>
  <c r="AC102" i="32"/>
  <c r="AQ102" i="32" s="1"/>
  <c r="AN102" i="32"/>
  <c r="AA101" i="32"/>
  <c r="AB101" i="32"/>
  <c r="AC101" i="32"/>
  <c r="AN101" i="32"/>
  <c r="AN104" i="32" s="1"/>
  <c r="V104" i="32"/>
  <c r="AA99" i="32"/>
  <c r="AB99" i="32"/>
  <c r="AP99" i="32" s="1"/>
  <c r="AC99" i="32"/>
  <c r="AQ99" i="32" s="1"/>
  <c r="AN99" i="32"/>
  <c r="AA98" i="32"/>
  <c r="AB98" i="32"/>
  <c r="AC98" i="32"/>
  <c r="AN98" i="32"/>
  <c r="AN100" i="32" s="1"/>
  <c r="V100" i="32"/>
  <c r="AA96" i="32"/>
  <c r="AB96" i="32"/>
  <c r="AP96" i="32" s="1"/>
  <c r="AC96" i="32"/>
  <c r="AQ96" i="32" s="1"/>
  <c r="AN96" i="32"/>
  <c r="AA95" i="32"/>
  <c r="AB95" i="32"/>
  <c r="AP95" i="32" s="1"/>
  <c r="AC95" i="32"/>
  <c r="AQ95" i="32" s="1"/>
  <c r="AN95" i="32"/>
  <c r="AA94" i="32"/>
  <c r="AB94" i="32"/>
  <c r="AC94" i="32"/>
  <c r="AN94" i="32"/>
  <c r="V232" i="32"/>
  <c r="AA93" i="32"/>
  <c r="AB93" i="32"/>
  <c r="AC93" i="32"/>
  <c r="AN93" i="32"/>
  <c r="AN97" i="32" s="1"/>
  <c r="V97" i="32"/>
  <c r="AA91" i="32"/>
  <c r="AB91" i="32"/>
  <c r="AP91" i="32" s="1"/>
  <c r="AC91" i="32"/>
  <c r="AQ91" i="32" s="1"/>
  <c r="AN91" i="32"/>
  <c r="AA90" i="32"/>
  <c r="AB90" i="32"/>
  <c r="AC90" i="32"/>
  <c r="AN90" i="32"/>
  <c r="V92" i="32"/>
  <c r="AS89" i="32"/>
  <c r="AS237" i="32"/>
  <c r="AO89" i="32"/>
  <c r="AO237" i="32"/>
  <c r="AA88" i="32"/>
  <c r="AB88" i="32"/>
  <c r="AC88" i="32"/>
  <c r="AN88" i="32"/>
  <c r="V89" i="32"/>
  <c r="V237" i="32"/>
  <c r="AA86" i="32"/>
  <c r="AB86" i="32"/>
  <c r="AP86" i="32" s="1"/>
  <c r="AC86" i="32"/>
  <c r="AQ86" i="32" s="1"/>
  <c r="AN86" i="32"/>
  <c r="AA85" i="32"/>
  <c r="AB85" i="32"/>
  <c r="AP85" i="32" s="1"/>
  <c r="AC85" i="32"/>
  <c r="AQ85" i="32" s="1"/>
  <c r="AN85" i="32"/>
  <c r="AA84" i="32"/>
  <c r="AB84" i="32"/>
  <c r="AP84" i="32" s="1"/>
  <c r="AC84" i="32"/>
  <c r="AQ84" i="32" s="1"/>
  <c r="AN84" i="32"/>
  <c r="AA83" i="32"/>
  <c r="AB83" i="32"/>
  <c r="AC83" i="32"/>
  <c r="AN83" i="32"/>
  <c r="AN234" i="32" s="1"/>
  <c r="V234" i="32"/>
  <c r="AA82" i="32"/>
  <c r="AB82" i="32"/>
  <c r="AP82" i="32" s="1"/>
  <c r="AC82" i="32"/>
  <c r="AQ82" i="32" s="1"/>
  <c r="AN82" i="32"/>
  <c r="AA81" i="32"/>
  <c r="AB81" i="32"/>
  <c r="AP81" i="32" s="1"/>
  <c r="AC81" i="32"/>
  <c r="AQ81" i="32" s="1"/>
  <c r="AN81" i="32"/>
  <c r="AA80" i="32"/>
  <c r="AB80" i="32"/>
  <c r="AC80" i="32"/>
  <c r="AN80" i="32"/>
  <c r="AN231" i="32" s="1"/>
  <c r="V231" i="32"/>
  <c r="AA79" i="32"/>
  <c r="AE79" i="32" s="1"/>
  <c r="AM79" i="32" s="1"/>
  <c r="AB79" i="32"/>
  <c r="AP79" i="32" s="1"/>
  <c r="AC79" i="32"/>
  <c r="AQ79" i="32" s="1"/>
  <c r="AN79" i="32"/>
  <c r="AA78" i="32"/>
  <c r="AB78" i="32"/>
  <c r="AC78" i="32"/>
  <c r="AN78" i="32"/>
  <c r="AN87" i="32" s="1"/>
  <c r="V87" i="32"/>
  <c r="AA76" i="32"/>
  <c r="AB76" i="32"/>
  <c r="AP76" i="32" s="1"/>
  <c r="AC76" i="32"/>
  <c r="AQ76" i="32" s="1"/>
  <c r="AN76" i="32"/>
  <c r="AA75" i="32"/>
  <c r="AB75" i="32"/>
  <c r="AP75" i="32" s="1"/>
  <c r="AC75" i="32"/>
  <c r="AQ75" i="32" s="1"/>
  <c r="AN75" i="32"/>
  <c r="AA74" i="32"/>
  <c r="AB74" i="32"/>
  <c r="AP74" i="32" s="1"/>
  <c r="AC74" i="32"/>
  <c r="AQ74" i="32" s="1"/>
  <c r="AN74" i="32"/>
  <c r="AA73" i="32"/>
  <c r="AB73" i="32"/>
  <c r="AC73" i="32"/>
  <c r="AN73" i="32"/>
  <c r="AN77" i="32" s="1"/>
  <c r="V77" i="32"/>
  <c r="AA71" i="32"/>
  <c r="AB71" i="32"/>
  <c r="AP71" i="32" s="1"/>
  <c r="AC71" i="32"/>
  <c r="AQ71" i="32" s="1"/>
  <c r="AN71" i="32"/>
  <c r="AA70" i="32"/>
  <c r="AB70" i="32"/>
  <c r="AP70" i="32" s="1"/>
  <c r="AC70" i="32"/>
  <c r="AQ70" i="32" s="1"/>
  <c r="AN70" i="32"/>
  <c r="AA69" i="32"/>
  <c r="AB69" i="32"/>
  <c r="AC69" i="32"/>
  <c r="AN69" i="32"/>
  <c r="AN72" i="32" s="1"/>
  <c r="V72" i="32"/>
  <c r="AA67" i="32"/>
  <c r="AB67" i="32"/>
  <c r="AP67" i="32" s="1"/>
  <c r="AC67" i="32"/>
  <c r="AQ67" i="32" s="1"/>
  <c r="AN67" i="32"/>
  <c r="AA66" i="32"/>
  <c r="AB66" i="32"/>
  <c r="AP66" i="32" s="1"/>
  <c r="AC66" i="32"/>
  <c r="AQ66" i="32" s="1"/>
  <c r="AN66" i="32"/>
  <c r="AA65" i="32"/>
  <c r="AB65" i="32"/>
  <c r="AP65" i="32" s="1"/>
  <c r="AC65" i="32"/>
  <c r="AQ65" i="32" s="1"/>
  <c r="AN65" i="32"/>
  <c r="AA64" i="32"/>
  <c r="AB64" i="32"/>
  <c r="AC64" i="32"/>
  <c r="AN64" i="32"/>
  <c r="AN68" i="32" s="1"/>
  <c r="V68" i="32"/>
  <c r="AA62" i="32"/>
  <c r="AB62" i="32"/>
  <c r="AP62" i="32" s="1"/>
  <c r="AC62" i="32"/>
  <c r="AQ62" i="32" s="1"/>
  <c r="AN62" i="32"/>
  <c r="AA61" i="32"/>
  <c r="AB61" i="32"/>
  <c r="AP61" i="32" s="1"/>
  <c r="AC61" i="32"/>
  <c r="AQ61" i="32" s="1"/>
  <c r="AN61" i="32"/>
  <c r="AA60" i="32"/>
  <c r="AB60" i="32"/>
  <c r="AP60" i="32" s="1"/>
  <c r="AC60" i="32"/>
  <c r="AQ60" i="32" s="1"/>
  <c r="AN60" i="32"/>
  <c r="AA59" i="32"/>
  <c r="AB59" i="32"/>
  <c r="AC59" i="32"/>
  <c r="AN59" i="32"/>
  <c r="AN63" i="32" s="1"/>
  <c r="V63" i="32"/>
  <c r="AA57" i="32"/>
  <c r="AB57" i="32"/>
  <c r="AP57" i="32" s="1"/>
  <c r="AC57" i="32"/>
  <c r="AQ57" i="32" s="1"/>
  <c r="AN57" i="32"/>
  <c r="AA56" i="32"/>
  <c r="AB56" i="32"/>
  <c r="AP56" i="32" s="1"/>
  <c r="AC56" i="32"/>
  <c r="AQ56" i="32" s="1"/>
  <c r="AN56" i="32"/>
  <c r="AA55" i="32"/>
  <c r="AB55" i="32"/>
  <c r="AP55" i="32" s="1"/>
  <c r="AC55" i="32"/>
  <c r="AQ55" i="32" s="1"/>
  <c r="AN55" i="32"/>
  <c r="AA54" i="32"/>
  <c r="AB54" i="32"/>
  <c r="AC54" i="32"/>
  <c r="AN54" i="32"/>
  <c r="AN58" i="32" s="1"/>
  <c r="V58" i="32"/>
  <c r="AA52" i="32"/>
  <c r="AB52" i="32"/>
  <c r="AP52" i="32" s="1"/>
  <c r="AC52" i="32"/>
  <c r="AQ52" i="32" s="1"/>
  <c r="AN52" i="32"/>
  <c r="AA51" i="32"/>
  <c r="AB51" i="32"/>
  <c r="AP51" i="32" s="1"/>
  <c r="AC51" i="32"/>
  <c r="AQ51" i="32" s="1"/>
  <c r="AN51" i="32"/>
  <c r="AA50" i="32"/>
  <c r="AB50" i="32"/>
  <c r="AP50" i="32" s="1"/>
  <c r="AC50" i="32"/>
  <c r="AQ50" i="32" s="1"/>
  <c r="AN50" i="32"/>
  <c r="AC211" i="32"/>
  <c r="AQ211" i="32" s="1"/>
  <c r="AB211" i="32"/>
  <c r="AP211" i="32" s="1"/>
  <c r="AA211" i="32"/>
  <c r="AE211" i="32" s="1"/>
  <c r="AM211" i="32" s="1"/>
  <c r="AN211" i="32"/>
  <c r="AN209" i="32"/>
  <c r="AB209" i="32"/>
  <c r="AP209" i="32" s="1"/>
  <c r="AA209" i="32"/>
  <c r="AC209" i="32"/>
  <c r="AQ209" i="32" s="1"/>
  <c r="AB205" i="32"/>
  <c r="AP205" i="32" s="1"/>
  <c r="AN205" i="32"/>
  <c r="AC205" i="32"/>
  <c r="AQ205" i="32" s="1"/>
  <c r="AA205" i="32"/>
  <c r="AE205" i="32" s="1"/>
  <c r="AM205" i="32" s="1"/>
  <c r="AB203" i="32"/>
  <c r="AN203" i="32"/>
  <c r="AN207" i="32" s="1"/>
  <c r="AC203" i="32"/>
  <c r="AA203" i="32"/>
  <c r="V207" i="32"/>
  <c r="AA199" i="32"/>
  <c r="AN199" i="32"/>
  <c r="AC199" i="32"/>
  <c r="AQ199" i="32" s="1"/>
  <c r="AB199" i="32"/>
  <c r="AP199" i="32" s="1"/>
  <c r="AC194" i="32"/>
  <c r="AQ194" i="32" s="1"/>
  <c r="AN194" i="32"/>
  <c r="AB194" i="32"/>
  <c r="AP194" i="32" s="1"/>
  <c r="AA194" i="32"/>
  <c r="AE194" i="32" s="1"/>
  <c r="AM194" i="32" s="1"/>
  <c r="AA49" i="32"/>
  <c r="AB49" i="32"/>
  <c r="AP49" i="32" s="1"/>
  <c r="AC49" i="32"/>
  <c r="AQ49" i="32" s="1"/>
  <c r="AN49" i="32"/>
  <c r="AA48" i="32"/>
  <c r="AB48" i="32"/>
  <c r="AC48" i="32"/>
  <c r="AN48" i="32"/>
  <c r="AN53" i="32" s="1"/>
  <c r="V53" i="32"/>
  <c r="AA46" i="32"/>
  <c r="AB46" i="32"/>
  <c r="AP46" i="32" s="1"/>
  <c r="AC46" i="32"/>
  <c r="AQ46" i="32" s="1"/>
  <c r="AN46" i="32"/>
  <c r="AA45" i="32"/>
  <c r="AB45" i="32"/>
  <c r="AP45" i="32" s="1"/>
  <c r="AC45" i="32"/>
  <c r="AQ45" i="32" s="1"/>
  <c r="AN45" i="32"/>
  <c r="AS44" i="32"/>
  <c r="AL230" i="32"/>
  <c r="AL228" i="32" s="1"/>
  <c r="AA44" i="32"/>
  <c r="AB44" i="32"/>
  <c r="AP44" i="32" s="1"/>
  <c r="AC44" i="32"/>
  <c r="AQ44" i="32" s="1"/>
  <c r="AN44" i="32"/>
  <c r="AA43" i="32"/>
  <c r="AB43" i="32"/>
  <c r="AP43" i="32" s="1"/>
  <c r="AC43" i="32"/>
  <c r="AQ43" i="32" s="1"/>
  <c r="AN43" i="32"/>
  <c r="AA42" i="32"/>
  <c r="AB42" i="32"/>
  <c r="AC42" i="32"/>
  <c r="AN42" i="32"/>
  <c r="AN47" i="32" s="1"/>
  <c r="V47" i="32"/>
  <c r="AA40" i="32"/>
  <c r="AB40" i="32"/>
  <c r="AC40" i="32"/>
  <c r="AN40" i="32"/>
  <c r="V236" i="32"/>
  <c r="AA39" i="32"/>
  <c r="AB39" i="32"/>
  <c r="AP39" i="32" s="1"/>
  <c r="AC39" i="32"/>
  <c r="AQ39" i="32" s="1"/>
  <c r="AN39" i="32"/>
  <c r="AA38" i="32"/>
  <c r="AB38" i="32"/>
  <c r="AC38" i="32"/>
  <c r="AN38" i="32"/>
  <c r="V230" i="32"/>
  <c r="AA37" i="32"/>
  <c r="AB37" i="32"/>
  <c r="AC37" i="32"/>
  <c r="AN37" i="32"/>
  <c r="V41" i="32"/>
  <c r="AA35" i="32"/>
  <c r="AB35" i="32"/>
  <c r="AP35" i="32" s="1"/>
  <c r="AC35" i="32"/>
  <c r="AQ35" i="32" s="1"/>
  <c r="AN35" i="32"/>
  <c r="AA34" i="32"/>
  <c r="AB34" i="32"/>
  <c r="AC34" i="32"/>
  <c r="AN34" i="32"/>
  <c r="V36" i="32"/>
  <c r="AA32" i="32"/>
  <c r="AB32" i="32"/>
  <c r="AP32" i="32" s="1"/>
  <c r="AC32" i="32"/>
  <c r="AQ32" i="32" s="1"/>
  <c r="AN32" i="32"/>
  <c r="AA31" i="32"/>
  <c r="AB31" i="32"/>
  <c r="AC31" i="32"/>
  <c r="AN31" i="32"/>
  <c r="AN33" i="32" s="1"/>
  <c r="V33" i="32"/>
  <c r="AA29" i="32"/>
  <c r="AE29" i="32" s="1"/>
  <c r="AM29" i="32" s="1"/>
  <c r="AB29" i="32"/>
  <c r="AP29" i="32" s="1"/>
  <c r="AC29" i="32"/>
  <c r="AQ29" i="32" s="1"/>
  <c r="AN29" i="32"/>
  <c r="AA28" i="32"/>
  <c r="AB28" i="32"/>
  <c r="AC28" i="32"/>
  <c r="AN28" i="32"/>
  <c r="AN30" i="32" s="1"/>
  <c r="V30" i="32"/>
  <c r="AA26" i="32"/>
  <c r="AB26" i="32"/>
  <c r="AP26" i="32" s="1"/>
  <c r="AC26" i="32"/>
  <c r="AQ26" i="32" s="1"/>
  <c r="AN26" i="32"/>
  <c r="AA25" i="32"/>
  <c r="AB25" i="32"/>
  <c r="AC25" i="32"/>
  <c r="AN25" i="32"/>
  <c r="AN27" i="32" s="1"/>
  <c r="V27" i="32"/>
  <c r="AA23" i="32"/>
  <c r="AB23" i="32"/>
  <c r="AP23" i="32" s="1"/>
  <c r="AC23" i="32"/>
  <c r="AQ23" i="32" s="1"/>
  <c r="AN23" i="32"/>
  <c r="AA22" i="32"/>
  <c r="AB22" i="32"/>
  <c r="AP22" i="32" s="1"/>
  <c r="AC22" i="32"/>
  <c r="AQ22" i="32" s="1"/>
  <c r="AN22" i="32"/>
  <c r="AA21" i="32"/>
  <c r="AB21" i="32"/>
  <c r="AC21" i="32"/>
  <c r="AN21" i="32"/>
  <c r="AN24" i="32" s="1"/>
  <c r="V24" i="32"/>
  <c r="AA19" i="32"/>
  <c r="AB19" i="32"/>
  <c r="AP19" i="32" s="1"/>
  <c r="AC19" i="32"/>
  <c r="AQ19" i="32" s="1"/>
  <c r="AN19" i="32"/>
  <c r="AA18" i="32"/>
  <c r="AB18" i="32"/>
  <c r="AP18" i="32" s="1"/>
  <c r="AC18" i="32"/>
  <c r="AQ18" i="32" s="1"/>
  <c r="AN18" i="32"/>
  <c r="AA17" i="32"/>
  <c r="AB17" i="32"/>
  <c r="AC17" i="32"/>
  <c r="AN17" i="32"/>
  <c r="AN20" i="32" s="1"/>
  <c r="V20" i="32"/>
  <c r="AA15" i="32"/>
  <c r="AB15" i="32"/>
  <c r="AP15" i="32" s="1"/>
  <c r="AC15" i="32"/>
  <c r="AQ15" i="32" s="1"/>
  <c r="AN15" i="32"/>
  <c r="AS16" i="32"/>
  <c r="AS229" i="32"/>
  <c r="AO16" i="32"/>
  <c r="AO229" i="32"/>
  <c r="AA14" i="32"/>
  <c r="AB14" i="32"/>
  <c r="AC14" i="32"/>
  <c r="AN14" i="32"/>
  <c r="V16" i="32"/>
  <c r="V229" i="32"/>
  <c r="AS13" i="32"/>
  <c r="AS238" i="32"/>
  <c r="AO13" i="32"/>
  <c r="AO225" i="32" s="1"/>
  <c r="AO238" i="32"/>
  <c r="AA12" i="32"/>
  <c r="AB12" i="32"/>
  <c r="AC12" i="32"/>
  <c r="AN12" i="32"/>
  <c r="V13" i="32"/>
  <c r="V238" i="32"/>
  <c r="AA219" i="32"/>
  <c r="AC219" i="32"/>
  <c r="AQ219" i="32" s="1"/>
  <c r="AB219" i="32"/>
  <c r="AP219" i="32" s="1"/>
  <c r="AN219" i="32"/>
  <c r="AA216" i="32"/>
  <c r="AC216" i="32"/>
  <c r="AQ216" i="32" s="1"/>
  <c r="AB216" i="32"/>
  <c r="AP216" i="32" s="1"/>
  <c r="AN216" i="32"/>
  <c r="AB210" i="32"/>
  <c r="AP210" i="32" s="1"/>
  <c r="AA210" i="32"/>
  <c r="AN210" i="32"/>
  <c r="AC210" i="32"/>
  <c r="AQ210" i="32" s="1"/>
  <c r="AB208" i="32"/>
  <c r="AN208" i="32"/>
  <c r="AN212" i="32" s="1"/>
  <c r="AC208" i="32"/>
  <c r="AA208" i="32"/>
  <c r="V212" i="32"/>
  <c r="AC201" i="32"/>
  <c r="AQ201" i="32" s="1"/>
  <c r="AA201" i="32"/>
  <c r="AB201" i="32"/>
  <c r="AP201" i="32" s="1"/>
  <c r="AN201" i="32"/>
  <c r="AA198" i="32"/>
  <c r="V202" i="32"/>
  <c r="AC198" i="32"/>
  <c r="AB198" i="32"/>
  <c r="AN198" i="32"/>
  <c r="AN202" i="32" s="1"/>
  <c r="P226" i="32"/>
  <c r="Z226" i="32"/>
  <c r="V224" i="32"/>
  <c r="AC223" i="32"/>
  <c r="AN223" i="32"/>
  <c r="AN224" i="32" s="1"/>
  <c r="AB223" i="32"/>
  <c r="AA223" i="32"/>
  <c r="AA221" i="32"/>
  <c r="AB221" i="32"/>
  <c r="AP221" i="32" s="1"/>
  <c r="AN221" i="32"/>
  <c r="AC221" i="32"/>
  <c r="AQ221" i="32" s="1"/>
  <c r="AA215" i="32"/>
  <c r="AC215" i="32"/>
  <c r="AQ215" i="32" s="1"/>
  <c r="AB215" i="32"/>
  <c r="AP215" i="32" s="1"/>
  <c r="AN215" i="32"/>
  <c r="AB204" i="32"/>
  <c r="AP204" i="32" s="1"/>
  <c r="AN204" i="32"/>
  <c r="AA204" i="32"/>
  <c r="AC204" i="32"/>
  <c r="AQ204" i="32" s="1"/>
  <c r="AB193" i="32"/>
  <c r="AN193" i="32"/>
  <c r="V197" i="32"/>
  <c r="AC193" i="32"/>
  <c r="AA193" i="32"/>
  <c r="AB191" i="32"/>
  <c r="AP191" i="32" s="1"/>
  <c r="AN191" i="32"/>
  <c r="AC191" i="32"/>
  <c r="AQ191" i="32" s="1"/>
  <c r="AA191" i="32"/>
  <c r="AE191" i="32" s="1"/>
  <c r="AM191" i="32" s="1"/>
  <c r="AB186" i="32"/>
  <c r="AP186" i="32" s="1"/>
  <c r="AN186" i="32"/>
  <c r="AA186" i="32"/>
  <c r="AC186" i="32"/>
  <c r="AQ186" i="32" s="1"/>
  <c r="AO202" i="32"/>
  <c r="AL226" i="32"/>
  <c r="AL47" i="32"/>
  <c r="AS104" i="32"/>
  <c r="AO104" i="32"/>
  <c r="AS232" i="32"/>
  <c r="AO232" i="32"/>
  <c r="P228" i="32"/>
  <c r="V227" i="32" s="1"/>
  <c r="W226" i="32"/>
  <c r="AO207" i="32"/>
  <c r="AO192" i="32"/>
  <c r="AS189" i="32"/>
  <c r="AS202" i="32"/>
  <c r="AO197" i="32"/>
  <c r="AS207" i="32"/>
  <c r="AO189" i="32"/>
  <c r="AO217" i="32"/>
  <c r="AS197" i="32"/>
  <c r="AS192" i="32"/>
  <c r="AS212" i="32"/>
  <c r="AL77" i="32"/>
  <c r="AL63" i="32"/>
  <c r="AA56" i="31"/>
  <c r="AC56" i="31"/>
  <c r="AQ56" i="31" s="1"/>
  <c r="AB56" i="31"/>
  <c r="AP56" i="31" s="1"/>
  <c r="AN56" i="31"/>
  <c r="AA50" i="31"/>
  <c r="AB50" i="31"/>
  <c r="AP50" i="31" s="1"/>
  <c r="AC50" i="31"/>
  <c r="AQ50" i="31" s="1"/>
  <c r="AN50" i="31"/>
  <c r="AA49" i="31"/>
  <c r="AB49" i="31"/>
  <c r="AP49" i="31" s="1"/>
  <c r="AC49" i="31"/>
  <c r="AQ49" i="31" s="1"/>
  <c r="AN49" i="31"/>
  <c r="AA48" i="31"/>
  <c r="AB48" i="31"/>
  <c r="AP48" i="31" s="1"/>
  <c r="AC48" i="31"/>
  <c r="AQ48" i="31" s="1"/>
  <c r="AN48" i="31"/>
  <c r="AA47" i="31"/>
  <c r="AB47" i="31"/>
  <c r="AC47" i="31"/>
  <c r="AN47" i="31"/>
  <c r="AN51" i="31" s="1"/>
  <c r="V51" i="31"/>
  <c r="AA45" i="31"/>
  <c r="AB45" i="31"/>
  <c r="AP45" i="31" s="1"/>
  <c r="AC45" i="31"/>
  <c r="AQ45" i="31" s="1"/>
  <c r="AN45" i="31"/>
  <c r="AA44" i="31"/>
  <c r="AB44" i="31"/>
  <c r="AP44" i="31" s="1"/>
  <c r="AC44" i="31"/>
  <c r="AQ44" i="31" s="1"/>
  <c r="AN44" i="31"/>
  <c r="AA43" i="31"/>
  <c r="AB43" i="31"/>
  <c r="AC43" i="31"/>
  <c r="AN43" i="31"/>
  <c r="AN46" i="31" s="1"/>
  <c r="V46" i="31"/>
  <c r="AA41" i="31"/>
  <c r="AB41" i="31"/>
  <c r="AP41" i="31" s="1"/>
  <c r="AC41" i="31"/>
  <c r="AQ41" i="31" s="1"/>
  <c r="AN41" i="31"/>
  <c r="AA40" i="31"/>
  <c r="AB40" i="31"/>
  <c r="AC40" i="31"/>
  <c r="AN40" i="31"/>
  <c r="AN42" i="31" s="1"/>
  <c r="V42" i="31"/>
  <c r="AA38" i="31"/>
  <c r="AB38" i="31"/>
  <c r="AP38" i="31" s="1"/>
  <c r="AC38" i="31"/>
  <c r="AQ38" i="31" s="1"/>
  <c r="AN38" i="31"/>
  <c r="AA37" i="31"/>
  <c r="AB37" i="31"/>
  <c r="AP37" i="31" s="1"/>
  <c r="AC37" i="31"/>
  <c r="AQ37" i="31" s="1"/>
  <c r="AN37" i="31"/>
  <c r="AA36" i="31"/>
  <c r="AB36" i="31"/>
  <c r="AC36" i="31"/>
  <c r="AN36" i="31"/>
  <c r="AN65" i="31" s="1"/>
  <c r="V65" i="31"/>
  <c r="AA35" i="31"/>
  <c r="AB35" i="31"/>
  <c r="AC35" i="31"/>
  <c r="AN35" i="31"/>
  <c r="AN39" i="31" s="1"/>
  <c r="V39" i="31"/>
  <c r="AS34" i="31"/>
  <c r="AS70" i="31"/>
  <c r="AO34" i="31"/>
  <c r="AO70" i="31"/>
  <c r="AA33" i="31"/>
  <c r="AB33" i="31"/>
  <c r="AC33" i="31"/>
  <c r="AN33" i="31"/>
  <c r="V34" i="31"/>
  <c r="V70" i="31"/>
  <c r="AA31" i="31"/>
  <c r="AB31" i="31"/>
  <c r="AP31" i="31" s="1"/>
  <c r="AC31" i="31"/>
  <c r="AQ31" i="31" s="1"/>
  <c r="AN31" i="31"/>
  <c r="AA30" i="31"/>
  <c r="AB30" i="31"/>
  <c r="AP30" i="31" s="1"/>
  <c r="AC30" i="31"/>
  <c r="AQ30" i="31" s="1"/>
  <c r="AN30" i="31"/>
  <c r="AA29" i="31"/>
  <c r="AB29" i="31"/>
  <c r="AP29" i="31" s="1"/>
  <c r="AC29" i="31"/>
  <c r="AQ29" i="31" s="1"/>
  <c r="AN29" i="31"/>
  <c r="AA28" i="31"/>
  <c r="AB28" i="31"/>
  <c r="AC28" i="31"/>
  <c r="AN28" i="31"/>
  <c r="AN32" i="31" s="1"/>
  <c r="V32" i="31"/>
  <c r="AA26" i="31"/>
  <c r="AB26" i="31"/>
  <c r="AC26" i="31"/>
  <c r="AN26" i="31"/>
  <c r="AN69" i="31" s="1"/>
  <c r="V69" i="31"/>
  <c r="AA25" i="31"/>
  <c r="AB25" i="31"/>
  <c r="AP25" i="31" s="1"/>
  <c r="AC25" i="31"/>
  <c r="AQ25" i="31" s="1"/>
  <c r="AN25" i="31"/>
  <c r="AA24" i="31"/>
  <c r="AB24" i="31"/>
  <c r="AP24" i="31" s="1"/>
  <c r="AC24" i="31"/>
  <c r="AQ24" i="31" s="1"/>
  <c r="AN24" i="31"/>
  <c r="AS27" i="31"/>
  <c r="AS63" i="31"/>
  <c r="AO27" i="31"/>
  <c r="AO63" i="31"/>
  <c r="AA23" i="31"/>
  <c r="AB23" i="31"/>
  <c r="AC23" i="31"/>
  <c r="AN23" i="31"/>
  <c r="V27" i="31"/>
  <c r="V63" i="31"/>
  <c r="AS22" i="31"/>
  <c r="AS71" i="31"/>
  <c r="AO22" i="31"/>
  <c r="AO71" i="31"/>
  <c r="AA21" i="31"/>
  <c r="AB21" i="31"/>
  <c r="AC21" i="31"/>
  <c r="AN21" i="31"/>
  <c r="V22" i="31"/>
  <c r="V71" i="31"/>
  <c r="AC55" i="31"/>
  <c r="AQ55" i="31" s="1"/>
  <c r="AA55" i="31"/>
  <c r="AB55" i="31"/>
  <c r="AP55" i="31" s="1"/>
  <c r="AN55" i="31"/>
  <c r="AA19" i="31"/>
  <c r="AB19" i="31"/>
  <c r="AP19" i="31" s="1"/>
  <c r="AC19" i="31"/>
  <c r="AQ19" i="31" s="1"/>
  <c r="AN19" i="31"/>
  <c r="AA18" i="31"/>
  <c r="AB18" i="31"/>
  <c r="AC18" i="31"/>
  <c r="AN18" i="31"/>
  <c r="AN20" i="31" s="1"/>
  <c r="V20" i="31"/>
  <c r="AA16" i="31"/>
  <c r="AB16" i="31"/>
  <c r="AP16" i="31" s="1"/>
  <c r="AC16" i="31"/>
  <c r="AQ16" i="31" s="1"/>
  <c r="AN16" i="31"/>
  <c r="AA15" i="31"/>
  <c r="AB15" i="31"/>
  <c r="AC15" i="31"/>
  <c r="AN15" i="31"/>
  <c r="AN17" i="31" s="1"/>
  <c r="V17" i="31"/>
  <c r="AA13" i="31"/>
  <c r="AB13" i="31"/>
  <c r="AP13" i="31" s="1"/>
  <c r="AC13" i="31"/>
  <c r="AQ13" i="31" s="1"/>
  <c r="AN13" i="31"/>
  <c r="AS14" i="31"/>
  <c r="AS62" i="31"/>
  <c r="AO14" i="31"/>
  <c r="AO62" i="31"/>
  <c r="AA12" i="31"/>
  <c r="AB12" i="31"/>
  <c r="AC12" i="31"/>
  <c r="AN12" i="31"/>
  <c r="V14" i="31"/>
  <c r="V62" i="31"/>
  <c r="Z59" i="31"/>
  <c r="P59" i="31"/>
  <c r="AB54" i="31"/>
  <c r="AA54" i="31"/>
  <c r="AC54" i="31"/>
  <c r="AN54" i="31"/>
  <c r="AN57" i="31" s="1"/>
  <c r="V57" i="31"/>
  <c r="AN52" i="31"/>
  <c r="AN53" i="31" s="1"/>
  <c r="AB52" i="31"/>
  <c r="AA52" i="31"/>
  <c r="AC52" i="31"/>
  <c r="V53" i="31"/>
  <c r="AL61" i="31"/>
  <c r="AS69" i="31"/>
  <c r="AO69" i="31"/>
  <c r="AL59" i="31"/>
  <c r="AO57" i="31"/>
  <c r="AR58" i="31"/>
  <c r="AL58" i="31"/>
  <c r="AE17" i="47" s="1"/>
  <c r="Z58" i="31"/>
  <c r="V59" i="31"/>
  <c r="P61" i="31"/>
  <c r="V60" i="31" s="1"/>
  <c r="AR61" i="31"/>
  <c r="AA77" i="30"/>
  <c r="AC77" i="30"/>
  <c r="AQ77" i="30" s="1"/>
  <c r="AN77" i="30"/>
  <c r="AB77" i="30"/>
  <c r="AP77" i="30" s="1"/>
  <c r="AB76" i="30"/>
  <c r="AP76" i="30" s="1"/>
  <c r="AN76" i="30"/>
  <c r="AC76" i="30"/>
  <c r="AQ76" i="30" s="1"/>
  <c r="AA76" i="30"/>
  <c r="AE76" i="30" s="1"/>
  <c r="AM76" i="30" s="1"/>
  <c r="AA75" i="30"/>
  <c r="AB75" i="30"/>
  <c r="AC75" i="30"/>
  <c r="AN75" i="30"/>
  <c r="V79" i="30"/>
  <c r="AA73" i="30"/>
  <c r="AB73" i="30"/>
  <c r="AP73" i="30" s="1"/>
  <c r="AC73" i="30"/>
  <c r="AQ73" i="30" s="1"/>
  <c r="AN73" i="30"/>
  <c r="AA72" i="30"/>
  <c r="AB72" i="30"/>
  <c r="AP72" i="30" s="1"/>
  <c r="AC72" i="30"/>
  <c r="AQ72" i="30" s="1"/>
  <c r="AN72" i="30"/>
  <c r="AA71" i="30"/>
  <c r="AB71" i="30"/>
  <c r="AP71" i="30" s="1"/>
  <c r="AC71" i="30"/>
  <c r="AQ71" i="30" s="1"/>
  <c r="AN71" i="30"/>
  <c r="AA70" i="30"/>
  <c r="AB70" i="30"/>
  <c r="AC70" i="30"/>
  <c r="AN70" i="30"/>
  <c r="AN74" i="30" s="1"/>
  <c r="V74" i="30"/>
  <c r="AA68" i="30"/>
  <c r="AB68" i="30"/>
  <c r="AP68" i="30" s="1"/>
  <c r="AC68" i="30"/>
  <c r="AQ68" i="30" s="1"/>
  <c r="AN68" i="30"/>
  <c r="AA67" i="30"/>
  <c r="AB67" i="30"/>
  <c r="AC67" i="30"/>
  <c r="AN67" i="30"/>
  <c r="AN69" i="30" s="1"/>
  <c r="V69" i="30"/>
  <c r="AA65" i="30"/>
  <c r="AB65" i="30"/>
  <c r="AP65" i="30" s="1"/>
  <c r="AC65" i="30"/>
  <c r="AQ65" i="30" s="1"/>
  <c r="AN65" i="30"/>
  <c r="AA64" i="30"/>
  <c r="AB64" i="30"/>
  <c r="AP64" i="30" s="1"/>
  <c r="AC64" i="30"/>
  <c r="AQ64" i="30" s="1"/>
  <c r="AN64" i="30"/>
  <c r="AA63" i="30"/>
  <c r="AB63" i="30"/>
  <c r="AC63" i="30"/>
  <c r="AN63" i="30"/>
  <c r="AN66" i="30" s="1"/>
  <c r="V66" i="30"/>
  <c r="AA61" i="30"/>
  <c r="AB61" i="30"/>
  <c r="AP61" i="30" s="1"/>
  <c r="AC61" i="30"/>
  <c r="AQ61" i="30" s="1"/>
  <c r="AN61" i="30"/>
  <c r="AA60" i="30"/>
  <c r="AB60" i="30"/>
  <c r="AC60" i="30"/>
  <c r="AN60" i="30"/>
  <c r="AN62" i="30" s="1"/>
  <c r="V62" i="30"/>
  <c r="AA58" i="30"/>
  <c r="AB58" i="30"/>
  <c r="AP58" i="30" s="1"/>
  <c r="AC58" i="30"/>
  <c r="AQ58" i="30" s="1"/>
  <c r="AN58" i="30"/>
  <c r="AA57" i="30"/>
  <c r="AB57" i="30"/>
  <c r="AP57" i="30" s="1"/>
  <c r="AC57" i="30"/>
  <c r="AQ57" i="30" s="1"/>
  <c r="AN57" i="30"/>
  <c r="AA56" i="30"/>
  <c r="AB56" i="30"/>
  <c r="AC56" i="30"/>
  <c r="AN56" i="30"/>
  <c r="AN59" i="30" s="1"/>
  <c r="V59" i="30"/>
  <c r="AA54" i="30"/>
  <c r="AB54" i="30"/>
  <c r="AP54" i="30" s="1"/>
  <c r="AC54" i="30"/>
  <c r="AQ54" i="30" s="1"/>
  <c r="AN54" i="30"/>
  <c r="AA53" i="30"/>
  <c r="AB53" i="30"/>
  <c r="AC53" i="30"/>
  <c r="AN53" i="30"/>
  <c r="AN55" i="30" s="1"/>
  <c r="V55" i="30"/>
  <c r="AA51" i="30"/>
  <c r="AB51" i="30"/>
  <c r="AP51" i="30" s="1"/>
  <c r="AC51" i="30"/>
  <c r="AQ51" i="30" s="1"/>
  <c r="AN51" i="30"/>
  <c r="AA50" i="30"/>
  <c r="AB50" i="30"/>
  <c r="AP50" i="30" s="1"/>
  <c r="AC50" i="30"/>
  <c r="AQ50" i="30" s="1"/>
  <c r="AN50" i="30"/>
  <c r="AA49" i="30"/>
  <c r="AB49" i="30"/>
  <c r="AP49" i="30" s="1"/>
  <c r="AC49" i="30"/>
  <c r="AQ49" i="30" s="1"/>
  <c r="AN49" i="30"/>
  <c r="AA48" i="30"/>
  <c r="AB48" i="30"/>
  <c r="AC48" i="30"/>
  <c r="AN48" i="30"/>
  <c r="AN52" i="30" s="1"/>
  <c r="V52" i="30"/>
  <c r="Z81" i="30"/>
  <c r="P81" i="30"/>
  <c r="AA46" i="30"/>
  <c r="AB46" i="30"/>
  <c r="AP46" i="30" s="1"/>
  <c r="AC46" i="30"/>
  <c r="AQ46" i="30" s="1"/>
  <c r="AN46" i="30"/>
  <c r="AA45" i="30"/>
  <c r="AB45" i="30"/>
  <c r="AP45" i="30" s="1"/>
  <c r="AC45" i="30"/>
  <c r="AQ45" i="30" s="1"/>
  <c r="AN45" i="30"/>
  <c r="AA44" i="30"/>
  <c r="AB44" i="30"/>
  <c r="AC44" i="30"/>
  <c r="AN44" i="30"/>
  <c r="AN47" i="30" s="1"/>
  <c r="V47" i="30"/>
  <c r="AA42" i="30"/>
  <c r="AB42" i="30"/>
  <c r="AP42" i="30" s="1"/>
  <c r="AC42" i="30"/>
  <c r="AQ42" i="30" s="1"/>
  <c r="AN42" i="30"/>
  <c r="AA41" i="30"/>
  <c r="AB41" i="30"/>
  <c r="AC41" i="30"/>
  <c r="AN41" i="30"/>
  <c r="AN43" i="30" s="1"/>
  <c r="V43" i="30"/>
  <c r="AA39" i="30"/>
  <c r="AB39" i="30"/>
  <c r="AP39" i="30" s="1"/>
  <c r="AC39" i="30"/>
  <c r="AQ39" i="30" s="1"/>
  <c r="AN39" i="30"/>
  <c r="AA38" i="30"/>
  <c r="AB38" i="30"/>
  <c r="AP38" i="30" s="1"/>
  <c r="AC38" i="30"/>
  <c r="AQ38" i="30" s="1"/>
  <c r="AN38" i="30"/>
  <c r="AA37" i="30"/>
  <c r="AB37" i="30"/>
  <c r="AP37" i="30" s="1"/>
  <c r="AC37" i="30"/>
  <c r="AQ37" i="30" s="1"/>
  <c r="AN37" i="30"/>
  <c r="AA36" i="30"/>
  <c r="AB36" i="30"/>
  <c r="AP36" i="30" s="1"/>
  <c r="AC36" i="30"/>
  <c r="AQ36" i="30" s="1"/>
  <c r="AN36" i="30"/>
  <c r="AA35" i="30"/>
  <c r="AB35" i="30"/>
  <c r="AC35" i="30"/>
  <c r="AN35" i="30"/>
  <c r="AN40" i="30" s="1"/>
  <c r="V40" i="30"/>
  <c r="AA33" i="30"/>
  <c r="AB33" i="30"/>
  <c r="AP33" i="30" s="1"/>
  <c r="AC33" i="30"/>
  <c r="AQ33" i="30" s="1"/>
  <c r="AN33" i="30"/>
  <c r="AA32" i="30"/>
  <c r="AB32" i="30"/>
  <c r="AP32" i="30" s="1"/>
  <c r="AC32" i="30"/>
  <c r="AQ32" i="30" s="1"/>
  <c r="AN32" i="30"/>
  <c r="AA31" i="30"/>
  <c r="AB31" i="30"/>
  <c r="AC31" i="30"/>
  <c r="AN31" i="30"/>
  <c r="AN87" i="30" s="1"/>
  <c r="V87" i="30"/>
  <c r="AA30" i="30"/>
  <c r="AB30" i="30"/>
  <c r="AC30" i="30"/>
  <c r="AN30" i="30"/>
  <c r="AN34" i="30" s="1"/>
  <c r="V34" i="30"/>
  <c r="AS29" i="30"/>
  <c r="AS92" i="30"/>
  <c r="AO29" i="30"/>
  <c r="AO92" i="30"/>
  <c r="AA28" i="30"/>
  <c r="AB28" i="30"/>
  <c r="AC28" i="30"/>
  <c r="AN28" i="30"/>
  <c r="V29" i="30"/>
  <c r="V92" i="30"/>
  <c r="AA26" i="30"/>
  <c r="AB26" i="30"/>
  <c r="AP26" i="30" s="1"/>
  <c r="AC26" i="30"/>
  <c r="AQ26" i="30" s="1"/>
  <c r="AN26" i="30"/>
  <c r="AA25" i="30"/>
  <c r="AB25" i="30"/>
  <c r="AP25" i="30" s="1"/>
  <c r="AC25" i="30"/>
  <c r="AQ25" i="30" s="1"/>
  <c r="AN25" i="30"/>
  <c r="AA24" i="30"/>
  <c r="AB24" i="30"/>
  <c r="AP24" i="30" s="1"/>
  <c r="AC24" i="30"/>
  <c r="AQ24" i="30" s="1"/>
  <c r="AN24" i="30"/>
  <c r="AA23" i="30"/>
  <c r="AB23" i="30"/>
  <c r="AC23" i="30"/>
  <c r="AN23" i="30"/>
  <c r="AN27" i="30" s="1"/>
  <c r="V27" i="30"/>
  <c r="AA21" i="30"/>
  <c r="AB21" i="30"/>
  <c r="AP21" i="30" s="1"/>
  <c r="AC21" i="30"/>
  <c r="AQ21" i="30" s="1"/>
  <c r="AN21" i="30"/>
  <c r="AA20" i="30"/>
  <c r="AB20" i="30"/>
  <c r="AC20" i="30"/>
  <c r="AN20" i="30"/>
  <c r="AN91" i="30" s="1"/>
  <c r="V91" i="30"/>
  <c r="AS19" i="30"/>
  <c r="AS85" i="30" s="1"/>
  <c r="AL22" i="30"/>
  <c r="AL85" i="30"/>
  <c r="AL83" i="30" s="1"/>
  <c r="AB78" i="30"/>
  <c r="AP78" i="30" s="1"/>
  <c r="AN78" i="30"/>
  <c r="AA78" i="30"/>
  <c r="AC78" i="30"/>
  <c r="AQ78" i="30" s="1"/>
  <c r="AA18" i="30"/>
  <c r="AB18" i="30"/>
  <c r="AP18" i="30" s="1"/>
  <c r="AC18" i="30"/>
  <c r="AQ18" i="30" s="1"/>
  <c r="AN18" i="30"/>
  <c r="AO22" i="30"/>
  <c r="AO85" i="30"/>
  <c r="AA17" i="30"/>
  <c r="AB17" i="30"/>
  <c r="AC17" i="30"/>
  <c r="AN17" i="30"/>
  <c r="V85" i="30"/>
  <c r="V22" i="30"/>
  <c r="AS16" i="30"/>
  <c r="AS93" i="30"/>
  <c r="AO16" i="30"/>
  <c r="AO93" i="30"/>
  <c r="AA15" i="30"/>
  <c r="AB15" i="30"/>
  <c r="AC15" i="30"/>
  <c r="AN15" i="30"/>
  <c r="V16" i="30"/>
  <c r="V93" i="30"/>
  <c r="AA13" i="30"/>
  <c r="AB13" i="30"/>
  <c r="AP13" i="30" s="1"/>
  <c r="AC13" i="30"/>
  <c r="AQ13" i="30" s="1"/>
  <c r="AN13" i="30"/>
  <c r="AS14" i="30"/>
  <c r="AS84" i="30"/>
  <c r="AO14" i="30"/>
  <c r="AO84" i="30"/>
  <c r="AA12" i="30"/>
  <c r="AB12" i="30"/>
  <c r="AC12" i="30"/>
  <c r="AN12" i="30"/>
  <c r="V14" i="30"/>
  <c r="V84" i="30"/>
  <c r="AG80" i="30"/>
  <c r="AS91" i="30"/>
  <c r="AO91" i="30"/>
  <c r="AR83" i="30"/>
  <c r="P83" i="30"/>
  <c r="V82" i="30" s="1"/>
  <c r="AR80" i="30"/>
  <c r="Z80" i="30"/>
  <c r="P80" i="30"/>
  <c r="D23" i="47"/>
  <c r="AL40" i="30"/>
  <c r="AO79" i="30"/>
  <c r="AA146" i="29"/>
  <c r="AB146" i="29"/>
  <c r="AC146" i="29"/>
  <c r="AN146" i="29"/>
  <c r="V151" i="29"/>
  <c r="AA144" i="29"/>
  <c r="AB144" i="29"/>
  <c r="AP144" i="29" s="1"/>
  <c r="AC144" i="29"/>
  <c r="AQ144" i="29" s="1"/>
  <c r="AN144" i="29"/>
  <c r="AA143" i="29"/>
  <c r="AB143" i="29"/>
  <c r="AP143" i="29" s="1"/>
  <c r="AC143" i="29"/>
  <c r="AQ143" i="29" s="1"/>
  <c r="AN143" i="29"/>
  <c r="AA142" i="29"/>
  <c r="AB142" i="29"/>
  <c r="AC142" i="29"/>
  <c r="AN142" i="29"/>
  <c r="V145" i="29"/>
  <c r="AA140" i="29"/>
  <c r="AB140" i="29"/>
  <c r="AP140" i="29" s="1"/>
  <c r="AC140" i="29"/>
  <c r="AQ140" i="29" s="1"/>
  <c r="AN140" i="29"/>
  <c r="AA139" i="29"/>
  <c r="AB139" i="29"/>
  <c r="AC139" i="29"/>
  <c r="AN139" i="29"/>
  <c r="AN141" i="29" s="1"/>
  <c r="V141" i="29"/>
  <c r="AA137" i="29"/>
  <c r="AB137" i="29"/>
  <c r="AP137" i="29" s="1"/>
  <c r="AC137" i="29"/>
  <c r="AQ137" i="29" s="1"/>
  <c r="AN137" i="29"/>
  <c r="AA136" i="29"/>
  <c r="AB136" i="29"/>
  <c r="AP136" i="29" s="1"/>
  <c r="AC136" i="29"/>
  <c r="AQ136" i="29" s="1"/>
  <c r="AN136" i="29"/>
  <c r="AA135" i="29"/>
  <c r="AB135" i="29"/>
  <c r="AC135" i="29"/>
  <c r="AN135" i="29"/>
  <c r="V159" i="29"/>
  <c r="AA134" i="29"/>
  <c r="AB134" i="29"/>
  <c r="AC134" i="29"/>
  <c r="AN134" i="29"/>
  <c r="AN138" i="29" s="1"/>
  <c r="V138" i="29"/>
  <c r="AA132" i="29"/>
  <c r="AB132" i="29"/>
  <c r="AP132" i="29" s="1"/>
  <c r="AC132" i="29"/>
  <c r="AQ132" i="29" s="1"/>
  <c r="AN132" i="29"/>
  <c r="AA131" i="29"/>
  <c r="AB131" i="29"/>
  <c r="AC131" i="29"/>
  <c r="AN131" i="29"/>
  <c r="AN133" i="29" s="1"/>
  <c r="V133" i="29"/>
  <c r="AA129" i="29"/>
  <c r="AB129" i="29"/>
  <c r="AP129" i="29" s="1"/>
  <c r="AC129" i="29"/>
  <c r="AQ129" i="29" s="1"/>
  <c r="AN129" i="29"/>
  <c r="AA128" i="29"/>
  <c r="AB128" i="29"/>
  <c r="AP128" i="29" s="1"/>
  <c r="AC128" i="29"/>
  <c r="AQ128" i="29" s="1"/>
  <c r="AN128" i="29"/>
  <c r="AA127" i="29"/>
  <c r="AB127" i="29"/>
  <c r="AC127" i="29"/>
  <c r="AN127" i="29"/>
  <c r="AN130" i="29" s="1"/>
  <c r="V130" i="29"/>
  <c r="AA125" i="29"/>
  <c r="AB125" i="29"/>
  <c r="AP125" i="29" s="1"/>
  <c r="AC125" i="29"/>
  <c r="AQ125" i="29" s="1"/>
  <c r="AN125" i="29"/>
  <c r="AA124" i="29"/>
  <c r="AB124" i="29"/>
  <c r="AC124" i="29"/>
  <c r="AN124" i="29"/>
  <c r="V126" i="29"/>
  <c r="AA122" i="29"/>
  <c r="AB122" i="29"/>
  <c r="AP122" i="29" s="1"/>
  <c r="AC122" i="29"/>
  <c r="AQ122" i="29" s="1"/>
  <c r="AN122" i="29"/>
  <c r="AA121" i="29"/>
  <c r="AB121" i="29"/>
  <c r="AP121" i="29" s="1"/>
  <c r="AC121" i="29"/>
  <c r="AQ121" i="29" s="1"/>
  <c r="AN121" i="29"/>
  <c r="AA120" i="29"/>
  <c r="AB120" i="29"/>
  <c r="AP120" i="29" s="1"/>
  <c r="AC120" i="29"/>
  <c r="AQ120" i="29" s="1"/>
  <c r="AN120" i="29"/>
  <c r="AA119" i="29"/>
  <c r="AB119" i="29"/>
  <c r="AC119" i="29"/>
  <c r="AN119" i="29"/>
  <c r="AN123" i="29" s="1"/>
  <c r="V123" i="29"/>
  <c r="AN149" i="29"/>
  <c r="AA149" i="29"/>
  <c r="AE149" i="29" s="1"/>
  <c r="AM149" i="29" s="1"/>
  <c r="AB149" i="29"/>
  <c r="AP149" i="29" s="1"/>
  <c r="AC149" i="29"/>
  <c r="AQ149" i="29" s="1"/>
  <c r="AA117" i="29"/>
  <c r="AB117" i="29"/>
  <c r="AP117" i="29" s="1"/>
  <c r="AC117" i="29"/>
  <c r="AQ117" i="29" s="1"/>
  <c r="AN117" i="29"/>
  <c r="AA116" i="29"/>
  <c r="AB116" i="29"/>
  <c r="AP116" i="29" s="1"/>
  <c r="AC116" i="29"/>
  <c r="AQ116" i="29" s="1"/>
  <c r="AN116" i="29"/>
  <c r="AA115" i="29"/>
  <c r="AB115" i="29"/>
  <c r="AP115" i="29" s="1"/>
  <c r="AC115" i="29"/>
  <c r="AQ115" i="29" s="1"/>
  <c r="AN115" i="29"/>
  <c r="AA114" i="29"/>
  <c r="AB114" i="29"/>
  <c r="AP114" i="29" s="1"/>
  <c r="AC114" i="29"/>
  <c r="AQ114" i="29" s="1"/>
  <c r="AN114" i="29"/>
  <c r="AA113" i="29"/>
  <c r="AB113" i="29"/>
  <c r="AC113" i="29"/>
  <c r="AN113" i="29"/>
  <c r="AN118" i="29" s="1"/>
  <c r="V118" i="29"/>
  <c r="AS112" i="29"/>
  <c r="AS164" i="29"/>
  <c r="AO112" i="29"/>
  <c r="AO164" i="29"/>
  <c r="AA111" i="29"/>
  <c r="AB111" i="29"/>
  <c r="AC111" i="29"/>
  <c r="AN111" i="29"/>
  <c r="V112" i="29"/>
  <c r="V164" i="29"/>
  <c r="AA109" i="29"/>
  <c r="AB109" i="29"/>
  <c r="AP109" i="29" s="1"/>
  <c r="AC109" i="29"/>
  <c r="AQ109" i="29" s="1"/>
  <c r="AN109" i="29"/>
  <c r="AA108" i="29"/>
  <c r="AB108" i="29"/>
  <c r="AP108" i="29" s="1"/>
  <c r="AC108" i="29"/>
  <c r="AQ108" i="29" s="1"/>
  <c r="AN108" i="29"/>
  <c r="AA107" i="29"/>
  <c r="AB107" i="29"/>
  <c r="AP107" i="29" s="1"/>
  <c r="AC107" i="29"/>
  <c r="AQ107" i="29" s="1"/>
  <c r="AN107" i="29"/>
  <c r="AA106" i="29"/>
  <c r="AB106" i="29"/>
  <c r="AC106" i="29"/>
  <c r="AN106" i="29"/>
  <c r="AN110" i="29" s="1"/>
  <c r="V110" i="29"/>
  <c r="AA104" i="29"/>
  <c r="AB104" i="29"/>
  <c r="AP104" i="29" s="1"/>
  <c r="AC104" i="29"/>
  <c r="AQ104" i="29" s="1"/>
  <c r="AN104" i="29"/>
  <c r="AA103" i="29"/>
  <c r="AB103" i="29"/>
  <c r="AP103" i="29" s="1"/>
  <c r="AC103" i="29"/>
  <c r="AQ103" i="29" s="1"/>
  <c r="AN103" i="29"/>
  <c r="AA102" i="29"/>
  <c r="AB102" i="29"/>
  <c r="AC102" i="29"/>
  <c r="AN102" i="29"/>
  <c r="AN105" i="29" s="1"/>
  <c r="V105" i="29"/>
  <c r="AA100" i="29"/>
  <c r="AB100" i="29"/>
  <c r="AP100" i="29" s="1"/>
  <c r="AC100" i="29"/>
  <c r="AQ100" i="29" s="1"/>
  <c r="AN100" i="29"/>
  <c r="AA99" i="29"/>
  <c r="AB99" i="29"/>
  <c r="AP99" i="29" s="1"/>
  <c r="AC99" i="29"/>
  <c r="AQ99" i="29" s="1"/>
  <c r="AN99" i="29"/>
  <c r="AA98" i="29"/>
  <c r="AB98" i="29"/>
  <c r="AP98" i="29" s="1"/>
  <c r="AC98" i="29"/>
  <c r="AQ98" i="29" s="1"/>
  <c r="AN98" i="29"/>
  <c r="AA97" i="29"/>
  <c r="AB97" i="29"/>
  <c r="AC97" i="29"/>
  <c r="AN97" i="29"/>
  <c r="AN101" i="29" s="1"/>
  <c r="V101" i="29"/>
  <c r="AA95" i="29"/>
  <c r="AB95" i="29"/>
  <c r="AP95" i="29" s="1"/>
  <c r="AC95" i="29"/>
  <c r="AQ95" i="29" s="1"/>
  <c r="AN95" i="29"/>
  <c r="AA94" i="29"/>
  <c r="AB94" i="29"/>
  <c r="AP94" i="29" s="1"/>
  <c r="AC94" i="29"/>
  <c r="AQ94" i="29" s="1"/>
  <c r="AN94" i="29"/>
  <c r="AA93" i="29"/>
  <c r="AB93" i="29"/>
  <c r="AP93" i="29" s="1"/>
  <c r="AC93" i="29"/>
  <c r="AQ93" i="29" s="1"/>
  <c r="AN93" i="29"/>
  <c r="AA92" i="29"/>
  <c r="AB92" i="29"/>
  <c r="AC92" i="29"/>
  <c r="AN92" i="29"/>
  <c r="AN96" i="29" s="1"/>
  <c r="V96" i="29"/>
  <c r="AA90" i="29"/>
  <c r="AB90" i="29"/>
  <c r="AP90" i="29" s="1"/>
  <c r="AC90" i="29"/>
  <c r="AQ90" i="29" s="1"/>
  <c r="AN90" i="29"/>
  <c r="AA89" i="29"/>
  <c r="AB89" i="29"/>
  <c r="AP89" i="29" s="1"/>
  <c r="AC89" i="29"/>
  <c r="AQ89" i="29" s="1"/>
  <c r="AN89" i="29"/>
  <c r="AA88" i="29"/>
  <c r="AB88" i="29"/>
  <c r="AP88" i="29" s="1"/>
  <c r="AC88" i="29"/>
  <c r="AQ88" i="29" s="1"/>
  <c r="AN88" i="29"/>
  <c r="AA65" i="29"/>
  <c r="AB65" i="29"/>
  <c r="AC65" i="29"/>
  <c r="AN65" i="29"/>
  <c r="AN66" i="29" s="1"/>
  <c r="V66" i="29"/>
  <c r="AB63" i="29"/>
  <c r="AP63" i="29" s="1"/>
  <c r="AA63" i="29"/>
  <c r="AE63" i="29" s="1"/>
  <c r="AM63" i="29" s="1"/>
  <c r="AC63" i="29"/>
  <c r="AQ63" i="29" s="1"/>
  <c r="AN63" i="29"/>
  <c r="AA61" i="29"/>
  <c r="AC61" i="29"/>
  <c r="AB61" i="29"/>
  <c r="AN61" i="29"/>
  <c r="V64" i="29"/>
  <c r="AA58" i="29"/>
  <c r="AC58" i="29"/>
  <c r="V60" i="29"/>
  <c r="AB58" i="29"/>
  <c r="AN58" i="29"/>
  <c r="AC148" i="29"/>
  <c r="AQ148" i="29" s="1"/>
  <c r="AB148" i="29"/>
  <c r="AP148" i="29" s="1"/>
  <c r="AN148" i="29"/>
  <c r="AA148" i="29"/>
  <c r="AE148" i="29" s="1"/>
  <c r="AM148" i="29" s="1"/>
  <c r="AB147" i="29"/>
  <c r="AP147" i="29" s="1"/>
  <c r="AC147" i="29"/>
  <c r="AQ147" i="29" s="1"/>
  <c r="AN147" i="29"/>
  <c r="AA147" i="29"/>
  <c r="AE147" i="29" s="1"/>
  <c r="AM147" i="29" s="1"/>
  <c r="AA87" i="29"/>
  <c r="AB87" i="29"/>
  <c r="AC87" i="29"/>
  <c r="AN87" i="29"/>
  <c r="V91" i="29"/>
  <c r="AA85" i="29"/>
  <c r="AB85" i="29"/>
  <c r="AP85" i="29" s="1"/>
  <c r="AC85" i="29"/>
  <c r="AQ85" i="29" s="1"/>
  <c r="AN85" i="29"/>
  <c r="AA84" i="29"/>
  <c r="AB84" i="29"/>
  <c r="AP84" i="29" s="1"/>
  <c r="AC84" i="29"/>
  <c r="AQ84" i="29" s="1"/>
  <c r="AN84" i="29"/>
  <c r="AA83" i="29"/>
  <c r="AB83" i="29"/>
  <c r="AP83" i="29" s="1"/>
  <c r="AC83" i="29"/>
  <c r="AQ83" i="29" s="1"/>
  <c r="AN83" i="29"/>
  <c r="AA82" i="29"/>
  <c r="AB82" i="29"/>
  <c r="AC82" i="29"/>
  <c r="AN82" i="29"/>
  <c r="AN86" i="29" s="1"/>
  <c r="V86" i="29"/>
  <c r="AA80" i="29"/>
  <c r="AB80" i="29"/>
  <c r="AP80" i="29" s="1"/>
  <c r="AC80" i="29"/>
  <c r="AQ80" i="29" s="1"/>
  <c r="AN80" i="29"/>
  <c r="AA79" i="29"/>
  <c r="AB79" i="29"/>
  <c r="AP79" i="29" s="1"/>
  <c r="AC79" i="29"/>
  <c r="AQ79" i="29" s="1"/>
  <c r="AN79" i="29"/>
  <c r="AA78" i="29"/>
  <c r="AB78" i="29"/>
  <c r="AP78" i="29" s="1"/>
  <c r="AC78" i="29"/>
  <c r="AQ78" i="29" s="1"/>
  <c r="AN78" i="29"/>
  <c r="AA77" i="29"/>
  <c r="AB77" i="29"/>
  <c r="AC77" i="29"/>
  <c r="AN77" i="29"/>
  <c r="V81" i="29"/>
  <c r="AA75" i="29"/>
  <c r="AB75" i="29"/>
  <c r="AP75" i="29" s="1"/>
  <c r="AC75" i="29"/>
  <c r="AQ75" i="29" s="1"/>
  <c r="AN75" i="29"/>
  <c r="AS74" i="29"/>
  <c r="AS76" i="29" s="1"/>
  <c r="AL157" i="29"/>
  <c r="AL155" i="29" s="1"/>
  <c r="AA74" i="29"/>
  <c r="AB74" i="29"/>
  <c r="AP74" i="29" s="1"/>
  <c r="AC74" i="29"/>
  <c r="AQ74" i="29" s="1"/>
  <c r="AN74" i="29"/>
  <c r="AA73" i="29"/>
  <c r="AB73" i="29"/>
  <c r="AP73" i="29" s="1"/>
  <c r="AC73" i="29"/>
  <c r="AQ73" i="29" s="1"/>
  <c r="AN73" i="29"/>
  <c r="AA72" i="29"/>
  <c r="AB72" i="29"/>
  <c r="AC72" i="29"/>
  <c r="AN72" i="29"/>
  <c r="AN76" i="29" s="1"/>
  <c r="V76" i="29"/>
  <c r="AA70" i="29"/>
  <c r="AB70" i="29"/>
  <c r="AC70" i="29"/>
  <c r="AN70" i="29"/>
  <c r="AN163" i="29" s="1"/>
  <c r="V163" i="29"/>
  <c r="AA69" i="29"/>
  <c r="AB69" i="29"/>
  <c r="AP69" i="29" s="1"/>
  <c r="AC69" i="29"/>
  <c r="AQ69" i="29" s="1"/>
  <c r="AN69" i="29"/>
  <c r="AA68" i="29"/>
  <c r="AB68" i="29"/>
  <c r="AP68" i="29" s="1"/>
  <c r="AC68" i="29"/>
  <c r="AQ68" i="29" s="1"/>
  <c r="AN68" i="29"/>
  <c r="AS71" i="29"/>
  <c r="AS157" i="29"/>
  <c r="AO71" i="29"/>
  <c r="AO157" i="29"/>
  <c r="AA67" i="29"/>
  <c r="AB67" i="29"/>
  <c r="AC67" i="29"/>
  <c r="AN67" i="29"/>
  <c r="V71" i="29"/>
  <c r="V157" i="29"/>
  <c r="AA62" i="29"/>
  <c r="AB62" i="29"/>
  <c r="AP62" i="29" s="1"/>
  <c r="AN62" i="29"/>
  <c r="AC62" i="29"/>
  <c r="AQ62" i="29" s="1"/>
  <c r="AA59" i="29"/>
  <c r="AC59" i="29"/>
  <c r="AQ59" i="29" s="1"/>
  <c r="AB59" i="29"/>
  <c r="AP59" i="29" s="1"/>
  <c r="AN59" i="29"/>
  <c r="AA56" i="29"/>
  <c r="AB56" i="29"/>
  <c r="AP56" i="29" s="1"/>
  <c r="AC56" i="29"/>
  <c r="AQ56" i="29" s="1"/>
  <c r="AN56" i="29"/>
  <c r="AA55" i="29"/>
  <c r="AB55" i="29"/>
  <c r="AC55" i="29"/>
  <c r="AN55" i="29"/>
  <c r="AN57" i="29" s="1"/>
  <c r="V57" i="29"/>
  <c r="AA53" i="29"/>
  <c r="AB53" i="29"/>
  <c r="AP53" i="29" s="1"/>
  <c r="AC53" i="29"/>
  <c r="AQ53" i="29" s="1"/>
  <c r="AN53" i="29"/>
  <c r="AA52" i="29"/>
  <c r="AB52" i="29"/>
  <c r="AC52" i="29"/>
  <c r="AN52" i="29"/>
  <c r="V54" i="29"/>
  <c r="AA50" i="29"/>
  <c r="AE50" i="29" s="1"/>
  <c r="AM50" i="29" s="1"/>
  <c r="AB50" i="29"/>
  <c r="AP50" i="29" s="1"/>
  <c r="AC50" i="29"/>
  <c r="AQ50" i="29" s="1"/>
  <c r="AN50" i="29"/>
  <c r="AA49" i="29"/>
  <c r="AB49" i="29"/>
  <c r="AC49" i="29"/>
  <c r="AN49" i="29"/>
  <c r="AN51" i="29" s="1"/>
  <c r="V51" i="29"/>
  <c r="AA47" i="29"/>
  <c r="AB47" i="29"/>
  <c r="AP47" i="29" s="1"/>
  <c r="AC47" i="29"/>
  <c r="AQ47" i="29" s="1"/>
  <c r="AN47" i="29"/>
  <c r="AA46" i="29"/>
  <c r="AB46" i="29"/>
  <c r="AC46" i="29"/>
  <c r="AN46" i="29"/>
  <c r="AN48" i="29" s="1"/>
  <c r="V48" i="29"/>
  <c r="AA44" i="29"/>
  <c r="AB44" i="29"/>
  <c r="AP44" i="29" s="1"/>
  <c r="AC44" i="29"/>
  <c r="AQ44" i="29" s="1"/>
  <c r="AN44" i="29"/>
  <c r="AA43" i="29"/>
  <c r="AB43" i="29"/>
  <c r="AC43" i="29"/>
  <c r="AN43" i="29"/>
  <c r="AN45" i="29" s="1"/>
  <c r="V45" i="29"/>
  <c r="AA41" i="29"/>
  <c r="AB41" i="29"/>
  <c r="AP41" i="29" s="1"/>
  <c r="AC41" i="29"/>
  <c r="AQ41" i="29" s="1"/>
  <c r="AN41" i="29"/>
  <c r="AA40" i="29"/>
  <c r="AB40" i="29"/>
  <c r="AC40" i="29"/>
  <c r="AN40" i="29"/>
  <c r="AN42" i="29" s="1"/>
  <c r="V42" i="29"/>
  <c r="AA38" i="29"/>
  <c r="AE38" i="29" s="1"/>
  <c r="AM38" i="29" s="1"/>
  <c r="AB38" i="29"/>
  <c r="AP38" i="29" s="1"/>
  <c r="AC38" i="29"/>
  <c r="AQ38" i="29" s="1"/>
  <c r="AN38" i="29"/>
  <c r="AA37" i="29"/>
  <c r="AB37" i="29"/>
  <c r="AC37" i="29"/>
  <c r="AN37" i="29"/>
  <c r="AN39" i="29" s="1"/>
  <c r="V39" i="29"/>
  <c r="AA35" i="29"/>
  <c r="AB35" i="29"/>
  <c r="AP35" i="29" s="1"/>
  <c r="AC35" i="29"/>
  <c r="AQ35" i="29" s="1"/>
  <c r="AN35" i="29"/>
  <c r="AA34" i="29"/>
  <c r="AB34" i="29"/>
  <c r="AC34" i="29"/>
  <c r="AN34" i="29"/>
  <c r="AN36" i="29" s="1"/>
  <c r="V36" i="29"/>
  <c r="AA32" i="29"/>
  <c r="AB32" i="29"/>
  <c r="AP32" i="29" s="1"/>
  <c r="AC32" i="29"/>
  <c r="AQ32" i="29" s="1"/>
  <c r="AN32" i="29"/>
  <c r="AA31" i="29"/>
  <c r="AB31" i="29"/>
  <c r="AC31" i="29"/>
  <c r="AN31" i="29"/>
  <c r="AN33" i="29" s="1"/>
  <c r="V33" i="29"/>
  <c r="P153" i="29"/>
  <c r="Z153" i="29"/>
  <c r="AA150" i="29"/>
  <c r="AC150" i="29"/>
  <c r="AQ150" i="29" s="1"/>
  <c r="AB150" i="29"/>
  <c r="AP150" i="29" s="1"/>
  <c r="AN150" i="29"/>
  <c r="AA29" i="29"/>
  <c r="AB29" i="29"/>
  <c r="AP29" i="29" s="1"/>
  <c r="AC29" i="29"/>
  <c r="AQ29" i="29" s="1"/>
  <c r="AN29" i="29"/>
  <c r="AA28" i="29"/>
  <c r="AB28" i="29"/>
  <c r="AC28" i="29"/>
  <c r="AN28" i="29"/>
  <c r="AN30" i="29" s="1"/>
  <c r="V30" i="29"/>
  <c r="AA26" i="29"/>
  <c r="AB26" i="29"/>
  <c r="AC26" i="29"/>
  <c r="AN26" i="29"/>
  <c r="AN27" i="29" s="1"/>
  <c r="V27" i="29"/>
  <c r="AA24" i="29"/>
  <c r="AB24" i="29"/>
  <c r="AP24" i="29" s="1"/>
  <c r="AC24" i="29"/>
  <c r="AQ24" i="29" s="1"/>
  <c r="AN24" i="29"/>
  <c r="AA23" i="29"/>
  <c r="AB23" i="29"/>
  <c r="AC23" i="29"/>
  <c r="AN23" i="29"/>
  <c r="AN25" i="29" s="1"/>
  <c r="V25" i="29"/>
  <c r="AA21" i="29"/>
  <c r="AB21" i="29"/>
  <c r="AP21" i="29" s="1"/>
  <c r="AC21" i="29"/>
  <c r="AQ21" i="29" s="1"/>
  <c r="AN21" i="29"/>
  <c r="AA20" i="29"/>
  <c r="AB20" i="29"/>
  <c r="AC20" i="29"/>
  <c r="AN20" i="29"/>
  <c r="AN22" i="29" s="1"/>
  <c r="V22" i="29"/>
  <c r="AA18" i="29"/>
  <c r="AB18" i="29"/>
  <c r="AP18" i="29" s="1"/>
  <c r="AC18" i="29"/>
  <c r="AQ18" i="29" s="1"/>
  <c r="AN18" i="29"/>
  <c r="AA17" i="29"/>
  <c r="AB17" i="29"/>
  <c r="AC17" i="29"/>
  <c r="AN17" i="29"/>
  <c r="AN19" i="29" s="1"/>
  <c r="V19" i="29"/>
  <c r="AA15" i="29"/>
  <c r="AB15" i="29"/>
  <c r="AP15" i="29" s="1"/>
  <c r="AC15" i="29"/>
  <c r="AQ15" i="29" s="1"/>
  <c r="AN15" i="29"/>
  <c r="AS16" i="29"/>
  <c r="AS156" i="29"/>
  <c r="AO16" i="29"/>
  <c r="AO156" i="29"/>
  <c r="AA14" i="29"/>
  <c r="AB14" i="29"/>
  <c r="AC14" i="29"/>
  <c r="AN14" i="29"/>
  <c r="V16" i="29"/>
  <c r="V156" i="29"/>
  <c r="AS13" i="29"/>
  <c r="AS165" i="29"/>
  <c r="AO13" i="29"/>
  <c r="AO165" i="29"/>
  <c r="AA12" i="29"/>
  <c r="AB12" i="29"/>
  <c r="AC12" i="29"/>
  <c r="AN12" i="29"/>
  <c r="V13" i="29"/>
  <c r="V165" i="29"/>
  <c r="AO151" i="29"/>
  <c r="AG152" i="29"/>
  <c r="Q152" i="29"/>
  <c r="J15" i="47" s="1"/>
  <c r="AS163" i="29"/>
  <c r="AO163" i="29"/>
  <c r="AS36" i="29"/>
  <c r="P155" i="29"/>
  <c r="V154" i="29" s="1"/>
  <c r="AS151" i="29"/>
  <c r="AR152" i="29"/>
  <c r="Z152" i="29"/>
  <c r="P152" i="29"/>
  <c r="D26" i="47"/>
  <c r="AO91" i="29"/>
  <c r="AL101" i="29"/>
  <c r="AL91" i="29"/>
  <c r="AO64" i="29"/>
  <c r="AS60" i="29"/>
  <c r="AL86" i="29"/>
  <c r="AL81" i="29"/>
  <c r="AE169" i="48"/>
  <c r="AM169" i="48" s="1"/>
  <c r="AD366" i="48"/>
  <c r="AD363" i="48"/>
  <c r="AD361" i="48"/>
  <c r="AD356" i="48"/>
  <c r="AD350" i="48"/>
  <c r="AD345" i="48"/>
  <c r="AD340" i="48"/>
  <c r="AD335" i="48"/>
  <c r="AD329" i="48"/>
  <c r="AD324" i="48"/>
  <c r="AD319" i="48"/>
  <c r="AD313" i="48"/>
  <c r="AD310" i="48"/>
  <c r="AD305" i="48"/>
  <c r="AD300" i="48"/>
  <c r="AD297" i="48"/>
  <c r="AD292" i="48"/>
  <c r="AD287" i="48"/>
  <c r="AD281" i="48"/>
  <c r="AD277" i="48"/>
  <c r="AD270" i="48"/>
  <c r="AD267" i="48"/>
  <c r="AD264" i="48"/>
  <c r="AD261" i="48"/>
  <c r="AD259" i="48"/>
  <c r="AD255" i="48"/>
  <c r="AD252" i="48"/>
  <c r="AD247" i="48"/>
  <c r="AD242" i="48"/>
  <c r="AD240" i="48"/>
  <c r="AD233" i="48"/>
  <c r="AD229" i="48"/>
  <c r="AD224" i="48"/>
  <c r="AD221" i="48"/>
  <c r="AD216" i="48"/>
  <c r="AD213" i="48"/>
  <c r="AD210" i="48"/>
  <c r="AD208" i="48"/>
  <c r="AD203" i="48"/>
  <c r="AD198" i="48"/>
  <c r="AD193" i="48"/>
  <c r="AD188" i="48"/>
  <c r="AD183" i="48"/>
  <c r="AD178" i="48"/>
  <c r="AD173" i="48"/>
  <c r="AD167" i="48"/>
  <c r="AD163" i="48"/>
  <c r="AD158" i="48"/>
  <c r="AD152" i="48"/>
  <c r="AD146" i="48"/>
  <c r="AD141" i="48"/>
  <c r="AD135" i="48"/>
  <c r="AD130" i="48"/>
  <c r="AD125" i="48"/>
  <c r="AD120" i="48"/>
  <c r="AD115" i="48"/>
  <c r="AD110" i="48"/>
  <c r="AD104" i="48"/>
  <c r="AD98" i="48"/>
  <c r="AD94" i="48"/>
  <c r="AD91" i="48"/>
  <c r="AD89" i="48"/>
  <c r="AD86" i="48"/>
  <c r="AD83" i="48"/>
  <c r="AD81" i="48"/>
  <c r="AD78" i="48"/>
  <c r="AD75" i="48"/>
  <c r="AD72" i="48"/>
  <c r="AD69" i="48"/>
  <c r="AD66" i="48"/>
  <c r="AD63" i="48"/>
  <c r="AD60" i="48"/>
  <c r="AD56" i="48"/>
  <c r="AD54" i="48"/>
  <c r="AD51" i="48"/>
  <c r="AD48" i="48"/>
  <c r="AD45" i="48"/>
  <c r="AD43" i="48"/>
  <c r="AD41" i="48"/>
  <c r="AD39" i="48"/>
  <c r="AD36" i="48"/>
  <c r="AD33" i="48"/>
  <c r="AD30" i="48"/>
  <c r="AD27" i="48"/>
  <c r="AD24" i="48"/>
  <c r="AD20" i="48"/>
  <c r="AD17" i="48"/>
  <c r="AD13" i="48"/>
  <c r="P14" i="48"/>
  <c r="P15" i="48"/>
  <c r="P16" i="48"/>
  <c r="P18" i="48"/>
  <c r="P19" i="48"/>
  <c r="P21" i="48"/>
  <c r="P22" i="48"/>
  <c r="P23" i="48"/>
  <c r="P25" i="48"/>
  <c r="P26" i="48"/>
  <c r="P28" i="48"/>
  <c r="P29" i="48"/>
  <c r="P32" i="48"/>
  <c r="P34" i="48"/>
  <c r="P35" i="48"/>
  <c r="P37" i="48"/>
  <c r="P38" i="48"/>
  <c r="P40" i="48"/>
  <c r="P41" i="48" s="1"/>
  <c r="P42" i="48"/>
  <c r="P43" i="48" s="1"/>
  <c r="P44" i="48"/>
  <c r="P45" i="48" s="1"/>
  <c r="P46" i="48"/>
  <c r="P47" i="48"/>
  <c r="P49" i="48"/>
  <c r="P50" i="48"/>
  <c r="P52" i="48"/>
  <c r="P53" i="48"/>
  <c r="P55" i="48"/>
  <c r="P56" i="48" s="1"/>
  <c r="P57" i="48"/>
  <c r="P58" i="48"/>
  <c r="P59" i="48"/>
  <c r="P61" i="48"/>
  <c r="P62" i="48"/>
  <c r="P64" i="48"/>
  <c r="P65" i="48"/>
  <c r="P67" i="48"/>
  <c r="P68" i="48"/>
  <c r="P70" i="48"/>
  <c r="P71" i="48"/>
  <c r="P73" i="48"/>
  <c r="P74" i="48"/>
  <c r="P76" i="48"/>
  <c r="P77" i="48"/>
  <c r="P79" i="48"/>
  <c r="P80" i="48"/>
  <c r="P82" i="48"/>
  <c r="P83" i="48" s="1"/>
  <c r="P84" i="48"/>
  <c r="P85" i="48"/>
  <c r="P87" i="48"/>
  <c r="P88" i="48"/>
  <c r="P90" i="48"/>
  <c r="P91" i="48" s="1"/>
  <c r="P92" i="48"/>
  <c r="P93" i="48"/>
  <c r="P95" i="48"/>
  <c r="P96" i="48"/>
  <c r="P97" i="48"/>
  <c r="P99" i="48"/>
  <c r="P100" i="48"/>
  <c r="P101" i="48"/>
  <c r="P102" i="48"/>
  <c r="P103" i="48"/>
  <c r="P105" i="48"/>
  <c r="P106" i="48"/>
  <c r="P107" i="48"/>
  <c r="P108" i="48"/>
  <c r="P109" i="48"/>
  <c r="P111" i="48"/>
  <c r="P112" i="48"/>
  <c r="P113" i="48"/>
  <c r="P114" i="48"/>
  <c r="P116" i="48"/>
  <c r="P117" i="48"/>
  <c r="P118" i="48"/>
  <c r="P119" i="48"/>
  <c r="P121" i="48"/>
  <c r="P122" i="48"/>
  <c r="P123" i="48"/>
  <c r="P124" i="48"/>
  <c r="P126" i="48"/>
  <c r="P127" i="48"/>
  <c r="P128" i="48"/>
  <c r="P129" i="48"/>
  <c r="P131" i="48"/>
  <c r="P132" i="48"/>
  <c r="P133" i="48"/>
  <c r="P134" i="48"/>
  <c r="P136" i="48"/>
  <c r="P137" i="48"/>
  <c r="P138" i="48"/>
  <c r="P139" i="48"/>
  <c r="P140" i="48"/>
  <c r="P142" i="48"/>
  <c r="P143" i="48"/>
  <c r="P144" i="48"/>
  <c r="P145" i="48"/>
  <c r="P147" i="48"/>
  <c r="P148" i="48"/>
  <c r="P149" i="48"/>
  <c r="P150" i="48"/>
  <c r="P151" i="48"/>
  <c r="P153" i="48"/>
  <c r="P154" i="48"/>
  <c r="P155" i="48"/>
  <c r="P156" i="48"/>
  <c r="P157" i="48"/>
  <c r="P159" i="48"/>
  <c r="P160" i="48"/>
  <c r="P161" i="48"/>
  <c r="P162" i="48"/>
  <c r="P164" i="48"/>
  <c r="P165" i="48"/>
  <c r="P166" i="48"/>
  <c r="P168" i="48"/>
  <c r="P170" i="48"/>
  <c r="P171" i="48"/>
  <c r="P172" i="48"/>
  <c r="P174" i="48"/>
  <c r="P175" i="48"/>
  <c r="P176" i="48"/>
  <c r="P177" i="48"/>
  <c r="P179" i="48"/>
  <c r="P180" i="48"/>
  <c r="P181" i="48"/>
  <c r="P182" i="48"/>
  <c r="P184" i="48"/>
  <c r="P185" i="48"/>
  <c r="P186" i="48"/>
  <c r="P187" i="48"/>
  <c r="P189" i="48"/>
  <c r="P190" i="48"/>
  <c r="P191" i="48"/>
  <c r="P192" i="48"/>
  <c r="P194" i="48"/>
  <c r="P195" i="48"/>
  <c r="P196" i="48"/>
  <c r="P197" i="48"/>
  <c r="P199" i="48"/>
  <c r="P200" i="48"/>
  <c r="P201" i="48"/>
  <c r="P202" i="48"/>
  <c r="P204" i="48"/>
  <c r="P205" i="48"/>
  <c r="P206" i="48"/>
  <c r="P207" i="48"/>
  <c r="P209" i="48"/>
  <c r="P210" i="48" s="1"/>
  <c r="P211" i="48"/>
  <c r="P212" i="48"/>
  <c r="P214" i="48"/>
  <c r="P215" i="48"/>
  <c r="P217" i="48"/>
  <c r="P218" i="48"/>
  <c r="P219" i="48"/>
  <c r="P220" i="48"/>
  <c r="P222" i="48"/>
  <c r="P223" i="48"/>
  <c r="P225" i="48"/>
  <c r="P226" i="48"/>
  <c r="P227" i="48"/>
  <c r="P228" i="48"/>
  <c r="P230" i="48"/>
  <c r="P231" i="48"/>
  <c r="P232" i="48"/>
  <c r="P234" i="48"/>
  <c r="P235" i="48"/>
  <c r="P236" i="48"/>
  <c r="P237" i="48"/>
  <c r="P238" i="48"/>
  <c r="P239" i="48"/>
  <c r="P241" i="48"/>
  <c r="P242" i="48" s="1"/>
  <c r="P243" i="48"/>
  <c r="P244" i="48"/>
  <c r="P245" i="48"/>
  <c r="P246" i="48"/>
  <c r="P248" i="48"/>
  <c r="P249" i="48"/>
  <c r="P250" i="48"/>
  <c r="P251" i="48"/>
  <c r="P253" i="48"/>
  <c r="P254" i="48"/>
  <c r="P256" i="48"/>
  <c r="P257" i="48"/>
  <c r="P258" i="48"/>
  <c r="P260" i="48"/>
  <c r="P261" i="48" s="1"/>
  <c r="P262" i="48"/>
  <c r="P263" i="48"/>
  <c r="P265" i="48"/>
  <c r="P266" i="48"/>
  <c r="P268" i="48"/>
  <c r="P269" i="48"/>
  <c r="P271" i="48"/>
  <c r="P272" i="48"/>
  <c r="P273" i="48"/>
  <c r="P274" i="48"/>
  <c r="P275" i="48"/>
  <c r="P276" i="48"/>
  <c r="P278" i="48"/>
  <c r="P279" i="48"/>
  <c r="P280" i="48"/>
  <c r="P282" i="48"/>
  <c r="P283" i="48"/>
  <c r="P284" i="48"/>
  <c r="P285" i="48"/>
  <c r="P286" i="48"/>
  <c r="P288" i="48"/>
  <c r="P289" i="48"/>
  <c r="P290" i="48"/>
  <c r="P291" i="48"/>
  <c r="P293" i="48"/>
  <c r="P294" i="48"/>
  <c r="P295" i="48"/>
  <c r="P296" i="48"/>
  <c r="P298" i="48"/>
  <c r="P299" i="48"/>
  <c r="P301" i="48"/>
  <c r="P302" i="48"/>
  <c r="P303" i="48"/>
  <c r="P304" i="48"/>
  <c r="P306" i="48"/>
  <c r="P307" i="48"/>
  <c r="P308" i="48"/>
  <c r="P309" i="48"/>
  <c r="P311" i="48"/>
  <c r="P312" i="48"/>
  <c r="P314" i="48"/>
  <c r="P315" i="48"/>
  <c r="P316" i="48"/>
  <c r="P317" i="48"/>
  <c r="P318" i="48"/>
  <c r="P320" i="48"/>
  <c r="P321" i="48"/>
  <c r="P322" i="48"/>
  <c r="P323" i="48"/>
  <c r="P325" i="48"/>
  <c r="P326" i="48"/>
  <c r="P327" i="48"/>
  <c r="P328" i="48"/>
  <c r="P330" i="48"/>
  <c r="P331" i="48"/>
  <c r="P332" i="48"/>
  <c r="P333" i="48"/>
  <c r="P334" i="48"/>
  <c r="P336" i="48"/>
  <c r="P337" i="48"/>
  <c r="P338" i="48"/>
  <c r="P339" i="48"/>
  <c r="P341" i="48"/>
  <c r="P342" i="48"/>
  <c r="P343" i="48"/>
  <c r="P344" i="48"/>
  <c r="P346" i="48"/>
  <c r="P347" i="48"/>
  <c r="P348" i="48"/>
  <c r="P349" i="48"/>
  <c r="P351" i="48"/>
  <c r="P352" i="48"/>
  <c r="P353" i="48"/>
  <c r="P354" i="48"/>
  <c r="P355" i="48"/>
  <c r="P357" i="48"/>
  <c r="P358" i="48"/>
  <c r="P359" i="48"/>
  <c r="P360" i="48"/>
  <c r="P362" i="48"/>
  <c r="P363" i="48" s="1"/>
  <c r="P365" i="48"/>
  <c r="X366" i="48"/>
  <c r="U366" i="48"/>
  <c r="T366" i="48"/>
  <c r="S366" i="48"/>
  <c r="R366" i="48"/>
  <c r="X363" i="48"/>
  <c r="U363" i="48"/>
  <c r="T363" i="48"/>
  <c r="S363" i="48"/>
  <c r="R363" i="48"/>
  <c r="X361" i="48"/>
  <c r="U361" i="48"/>
  <c r="T361" i="48"/>
  <c r="S361" i="48"/>
  <c r="R361" i="48"/>
  <c r="X356" i="48"/>
  <c r="U356" i="48"/>
  <c r="T356" i="48"/>
  <c r="S356" i="48"/>
  <c r="R356" i="48"/>
  <c r="X350" i="48"/>
  <c r="U350" i="48"/>
  <c r="T350" i="48"/>
  <c r="S350" i="48"/>
  <c r="R350" i="48"/>
  <c r="X345" i="48"/>
  <c r="U345" i="48"/>
  <c r="T345" i="48"/>
  <c r="S345" i="48"/>
  <c r="R345" i="48"/>
  <c r="X340" i="48"/>
  <c r="U340" i="48"/>
  <c r="T340" i="48"/>
  <c r="S340" i="48"/>
  <c r="R340" i="48"/>
  <c r="X335" i="48"/>
  <c r="U335" i="48"/>
  <c r="T335" i="48"/>
  <c r="S335" i="48"/>
  <c r="R335" i="48"/>
  <c r="X329" i="48"/>
  <c r="U329" i="48"/>
  <c r="T329" i="48"/>
  <c r="S329" i="48"/>
  <c r="R329" i="48"/>
  <c r="X324" i="48"/>
  <c r="U324" i="48"/>
  <c r="T324" i="48"/>
  <c r="S324" i="48"/>
  <c r="R324" i="48"/>
  <c r="X319" i="48"/>
  <c r="U319" i="48"/>
  <c r="T319" i="48"/>
  <c r="S319" i="48"/>
  <c r="R319" i="48"/>
  <c r="X313" i="48"/>
  <c r="U313" i="48"/>
  <c r="T313" i="48"/>
  <c r="S313" i="48"/>
  <c r="R313" i="48"/>
  <c r="X310" i="48"/>
  <c r="U310" i="48"/>
  <c r="T310" i="48"/>
  <c r="S310" i="48"/>
  <c r="R310" i="48"/>
  <c r="X305" i="48"/>
  <c r="U305" i="48"/>
  <c r="T305" i="48"/>
  <c r="S305" i="48"/>
  <c r="R305" i="48"/>
  <c r="X300" i="48"/>
  <c r="U300" i="48"/>
  <c r="T300" i="48"/>
  <c r="S300" i="48"/>
  <c r="R300" i="48"/>
  <c r="X297" i="48"/>
  <c r="U297" i="48"/>
  <c r="T297" i="48"/>
  <c r="S297" i="48"/>
  <c r="R297" i="48"/>
  <c r="X292" i="48"/>
  <c r="U292" i="48"/>
  <c r="T292" i="48"/>
  <c r="S292" i="48"/>
  <c r="R292" i="48"/>
  <c r="X287" i="48"/>
  <c r="U287" i="48"/>
  <c r="T287" i="48"/>
  <c r="S287" i="48"/>
  <c r="R287" i="48"/>
  <c r="X281" i="48"/>
  <c r="U281" i="48"/>
  <c r="T281" i="48"/>
  <c r="S281" i="48"/>
  <c r="R281" i="48"/>
  <c r="X277" i="48"/>
  <c r="U277" i="48"/>
  <c r="T277" i="48"/>
  <c r="S277" i="48"/>
  <c r="R277" i="48"/>
  <c r="X270" i="48"/>
  <c r="U270" i="48"/>
  <c r="T270" i="48"/>
  <c r="S270" i="48"/>
  <c r="R270" i="48"/>
  <c r="X267" i="48"/>
  <c r="U267" i="48"/>
  <c r="T267" i="48"/>
  <c r="S267" i="48"/>
  <c r="R267" i="48"/>
  <c r="X264" i="48"/>
  <c r="U264" i="48"/>
  <c r="T264" i="48"/>
  <c r="S264" i="48"/>
  <c r="R264" i="48"/>
  <c r="X261" i="48"/>
  <c r="U261" i="48"/>
  <c r="T261" i="48"/>
  <c r="S261" i="48"/>
  <c r="R261" i="48"/>
  <c r="X259" i="48"/>
  <c r="U259" i="48"/>
  <c r="T259" i="48"/>
  <c r="S259" i="48"/>
  <c r="R259" i="48"/>
  <c r="X255" i="48"/>
  <c r="U255" i="48"/>
  <c r="T255" i="48"/>
  <c r="S255" i="48"/>
  <c r="R255" i="48"/>
  <c r="X252" i="48"/>
  <c r="U252" i="48"/>
  <c r="T252" i="48"/>
  <c r="S252" i="48"/>
  <c r="R252" i="48"/>
  <c r="X247" i="48"/>
  <c r="U247" i="48"/>
  <c r="T247" i="48"/>
  <c r="S247" i="48"/>
  <c r="R247" i="48"/>
  <c r="X242" i="48"/>
  <c r="U242" i="48"/>
  <c r="T242" i="48"/>
  <c r="S242" i="48"/>
  <c r="R242" i="48"/>
  <c r="X240" i="48"/>
  <c r="U240" i="48"/>
  <c r="T240" i="48"/>
  <c r="S240" i="48"/>
  <c r="R240" i="48"/>
  <c r="X233" i="48"/>
  <c r="U233" i="48"/>
  <c r="T233" i="48"/>
  <c r="S233" i="48"/>
  <c r="R233" i="48"/>
  <c r="X229" i="48"/>
  <c r="U229" i="48"/>
  <c r="T229" i="48"/>
  <c r="S229" i="48"/>
  <c r="R229" i="48"/>
  <c r="X224" i="48"/>
  <c r="U224" i="48"/>
  <c r="T224" i="48"/>
  <c r="S224" i="48"/>
  <c r="R224" i="48"/>
  <c r="X221" i="48"/>
  <c r="U221" i="48"/>
  <c r="T221" i="48"/>
  <c r="S221" i="48"/>
  <c r="R221" i="48"/>
  <c r="X216" i="48"/>
  <c r="U216" i="48"/>
  <c r="T216" i="48"/>
  <c r="S216" i="48"/>
  <c r="R216" i="48"/>
  <c r="X213" i="48"/>
  <c r="U213" i="48"/>
  <c r="T213" i="48"/>
  <c r="S213" i="48"/>
  <c r="R213" i="48"/>
  <c r="X210" i="48"/>
  <c r="U210" i="48"/>
  <c r="T210" i="48"/>
  <c r="S210" i="48"/>
  <c r="R210" i="48"/>
  <c r="X208" i="48"/>
  <c r="U208" i="48"/>
  <c r="T208" i="48"/>
  <c r="S208" i="48"/>
  <c r="R208" i="48"/>
  <c r="X203" i="48"/>
  <c r="U203" i="48"/>
  <c r="T203" i="48"/>
  <c r="S203" i="48"/>
  <c r="R203" i="48"/>
  <c r="X198" i="48"/>
  <c r="U198" i="48"/>
  <c r="T198" i="48"/>
  <c r="S198" i="48"/>
  <c r="R198" i="48"/>
  <c r="X193" i="48"/>
  <c r="U193" i="48"/>
  <c r="T193" i="48"/>
  <c r="S193" i="48"/>
  <c r="R193" i="48"/>
  <c r="X188" i="48"/>
  <c r="U188" i="48"/>
  <c r="T188" i="48"/>
  <c r="S188" i="48"/>
  <c r="R188" i="48"/>
  <c r="X183" i="48"/>
  <c r="U183" i="48"/>
  <c r="T183" i="48"/>
  <c r="S183" i="48"/>
  <c r="R183" i="48"/>
  <c r="X178" i="48"/>
  <c r="U178" i="48"/>
  <c r="T178" i="48"/>
  <c r="S178" i="48"/>
  <c r="R178" i="48"/>
  <c r="X173" i="48"/>
  <c r="U173" i="48"/>
  <c r="T173" i="48"/>
  <c r="S173" i="48"/>
  <c r="R173" i="48"/>
  <c r="X167" i="48"/>
  <c r="U167" i="48"/>
  <c r="T167" i="48"/>
  <c r="S167" i="48"/>
  <c r="R167" i="48"/>
  <c r="X163" i="48"/>
  <c r="U163" i="48"/>
  <c r="T163" i="48"/>
  <c r="S163" i="48"/>
  <c r="R163" i="48"/>
  <c r="X158" i="48"/>
  <c r="U158" i="48"/>
  <c r="T158" i="48"/>
  <c r="S158" i="48"/>
  <c r="R158" i="48"/>
  <c r="X152" i="48"/>
  <c r="U152" i="48"/>
  <c r="T152" i="48"/>
  <c r="S152" i="48"/>
  <c r="R152" i="48"/>
  <c r="X146" i="48"/>
  <c r="U146" i="48"/>
  <c r="T146" i="48"/>
  <c r="S146" i="48"/>
  <c r="R146" i="48"/>
  <c r="X141" i="48"/>
  <c r="U141" i="48"/>
  <c r="T141" i="48"/>
  <c r="S141" i="48"/>
  <c r="R141" i="48"/>
  <c r="X135" i="48"/>
  <c r="U135" i="48"/>
  <c r="T135" i="48"/>
  <c r="S135" i="48"/>
  <c r="R135" i="48"/>
  <c r="X130" i="48"/>
  <c r="U130" i="48"/>
  <c r="T130" i="48"/>
  <c r="S130" i="48"/>
  <c r="R130" i="48"/>
  <c r="X125" i="48"/>
  <c r="U125" i="48"/>
  <c r="T125" i="48"/>
  <c r="S125" i="48"/>
  <c r="R125" i="48"/>
  <c r="X120" i="48"/>
  <c r="U120" i="48"/>
  <c r="T120" i="48"/>
  <c r="S120" i="48"/>
  <c r="R120" i="48"/>
  <c r="X115" i="48"/>
  <c r="U115" i="48"/>
  <c r="T115" i="48"/>
  <c r="S115" i="48"/>
  <c r="R115" i="48"/>
  <c r="X110" i="48"/>
  <c r="U110" i="48"/>
  <c r="T110" i="48"/>
  <c r="S110" i="48"/>
  <c r="R110" i="48"/>
  <c r="X104" i="48"/>
  <c r="U104" i="48"/>
  <c r="T104" i="48"/>
  <c r="S104" i="48"/>
  <c r="R104" i="48"/>
  <c r="X98" i="48"/>
  <c r="U98" i="48"/>
  <c r="T98" i="48"/>
  <c r="S98" i="48"/>
  <c r="R98" i="48"/>
  <c r="X94" i="48"/>
  <c r="U94" i="48"/>
  <c r="T94" i="48"/>
  <c r="S94" i="48"/>
  <c r="R94" i="48"/>
  <c r="X91" i="48"/>
  <c r="U91" i="48"/>
  <c r="T91" i="48"/>
  <c r="S91" i="48"/>
  <c r="R91" i="48"/>
  <c r="X89" i="48"/>
  <c r="U89" i="48"/>
  <c r="T89" i="48"/>
  <c r="S89" i="48"/>
  <c r="R89" i="48"/>
  <c r="X86" i="48"/>
  <c r="U86" i="48"/>
  <c r="T86" i="48"/>
  <c r="S86" i="48"/>
  <c r="R86" i="48"/>
  <c r="X83" i="48"/>
  <c r="U83" i="48"/>
  <c r="T83" i="48"/>
  <c r="S83" i="48"/>
  <c r="R83" i="48"/>
  <c r="X81" i="48"/>
  <c r="U81" i="48"/>
  <c r="T81" i="48"/>
  <c r="S81" i="48"/>
  <c r="R81" i="48"/>
  <c r="X78" i="48"/>
  <c r="U78" i="48"/>
  <c r="T78" i="48"/>
  <c r="S78" i="48"/>
  <c r="R78" i="48"/>
  <c r="X75" i="48"/>
  <c r="U75" i="48"/>
  <c r="T75" i="48"/>
  <c r="S75" i="48"/>
  <c r="R75" i="48"/>
  <c r="X72" i="48"/>
  <c r="U72" i="48"/>
  <c r="T72" i="48"/>
  <c r="S72" i="48"/>
  <c r="R72" i="48"/>
  <c r="X69" i="48"/>
  <c r="U69" i="48"/>
  <c r="T69" i="48"/>
  <c r="S69" i="48"/>
  <c r="R69" i="48"/>
  <c r="X66" i="48"/>
  <c r="U66" i="48"/>
  <c r="T66" i="48"/>
  <c r="S66" i="48"/>
  <c r="R66" i="48"/>
  <c r="X63" i="48"/>
  <c r="U63" i="48"/>
  <c r="T63" i="48"/>
  <c r="S63" i="48"/>
  <c r="R63" i="48"/>
  <c r="X60" i="48"/>
  <c r="U60" i="48"/>
  <c r="T60" i="48"/>
  <c r="S60" i="48"/>
  <c r="R60" i="48"/>
  <c r="X56" i="48"/>
  <c r="U56" i="48"/>
  <c r="T56" i="48"/>
  <c r="S56" i="48"/>
  <c r="R56" i="48"/>
  <c r="X54" i="48"/>
  <c r="U54" i="48"/>
  <c r="T54" i="48"/>
  <c r="S54" i="48"/>
  <c r="R54" i="48"/>
  <c r="X51" i="48"/>
  <c r="U51" i="48"/>
  <c r="T51" i="48"/>
  <c r="S51" i="48"/>
  <c r="R51" i="48"/>
  <c r="X48" i="48"/>
  <c r="U48" i="48"/>
  <c r="T48" i="48"/>
  <c r="S48" i="48"/>
  <c r="R48" i="48"/>
  <c r="X45" i="48"/>
  <c r="U45" i="48"/>
  <c r="T45" i="48"/>
  <c r="S45" i="48"/>
  <c r="R45" i="48"/>
  <c r="X43" i="48"/>
  <c r="U43" i="48"/>
  <c r="T43" i="48"/>
  <c r="S43" i="48"/>
  <c r="R43" i="48"/>
  <c r="X41" i="48"/>
  <c r="U41" i="48"/>
  <c r="T41" i="48"/>
  <c r="S41" i="48"/>
  <c r="R41" i="48"/>
  <c r="X39" i="48"/>
  <c r="U39" i="48"/>
  <c r="T39" i="48"/>
  <c r="S39" i="48"/>
  <c r="R39" i="48"/>
  <c r="X36" i="48"/>
  <c r="U36" i="48"/>
  <c r="T36" i="48"/>
  <c r="S36" i="48"/>
  <c r="R36" i="48"/>
  <c r="X33" i="48"/>
  <c r="U33" i="48"/>
  <c r="T33" i="48"/>
  <c r="S33" i="48"/>
  <c r="R33" i="48"/>
  <c r="X30" i="48"/>
  <c r="U30" i="48"/>
  <c r="T30" i="48"/>
  <c r="S30" i="48"/>
  <c r="R30" i="48"/>
  <c r="X27" i="48"/>
  <c r="U27" i="48"/>
  <c r="T27" i="48"/>
  <c r="S27" i="48"/>
  <c r="R27" i="48"/>
  <c r="X24" i="48"/>
  <c r="U24" i="48"/>
  <c r="T24" i="48"/>
  <c r="S24" i="48"/>
  <c r="R24" i="48"/>
  <c r="X20" i="48"/>
  <c r="U20" i="48"/>
  <c r="T20" i="48"/>
  <c r="S20" i="48"/>
  <c r="R20" i="48"/>
  <c r="X17" i="48"/>
  <c r="U17" i="48"/>
  <c r="T17" i="48"/>
  <c r="S17" i="48"/>
  <c r="R17" i="48"/>
  <c r="X13" i="48"/>
  <c r="U13" i="48"/>
  <c r="T13" i="48"/>
  <c r="S13" i="48"/>
  <c r="R13" i="48"/>
  <c r="Q13" i="48"/>
  <c r="AE145" i="42" l="1"/>
  <c r="AM145" i="42" s="1"/>
  <c r="AN25" i="42"/>
  <c r="AN36" i="42"/>
  <c r="AN69" i="42"/>
  <c r="AE141" i="42"/>
  <c r="AM141" i="42" s="1"/>
  <c r="AN80" i="42"/>
  <c r="AE140" i="42"/>
  <c r="AM140" i="42" s="1"/>
  <c r="AE105" i="41"/>
  <c r="AM105" i="41" s="1"/>
  <c r="AE79" i="41"/>
  <c r="AM79" i="41" s="1"/>
  <c r="AE93" i="41"/>
  <c r="AM93" i="41" s="1"/>
  <c r="AE72" i="41"/>
  <c r="AM72" i="41" s="1"/>
  <c r="AN74" i="40"/>
  <c r="AE117" i="40"/>
  <c r="AM117" i="40" s="1"/>
  <c r="AN129" i="40"/>
  <c r="AN56" i="40"/>
  <c r="AE121" i="40"/>
  <c r="AM121" i="40" s="1"/>
  <c r="AN61" i="40"/>
  <c r="AE116" i="40"/>
  <c r="AM116" i="40" s="1"/>
  <c r="AN85" i="40"/>
  <c r="AE66" i="39"/>
  <c r="AM66" i="39" s="1"/>
  <c r="AN42" i="39"/>
  <c r="AN59" i="39"/>
  <c r="AN47" i="39"/>
  <c r="AN64" i="39"/>
  <c r="AS17" i="39"/>
  <c r="AE135" i="42"/>
  <c r="AM135" i="42" s="1"/>
  <c r="AS152" i="42"/>
  <c r="AL22" i="47" s="1"/>
  <c r="AN22" i="42"/>
  <c r="AN96" i="42"/>
  <c r="AN158" i="42"/>
  <c r="AN28" i="42"/>
  <c r="AN48" i="42"/>
  <c r="AN62" i="42"/>
  <c r="AN72" i="42"/>
  <c r="AN103" i="42"/>
  <c r="AE95" i="42"/>
  <c r="AM95" i="42" s="1"/>
  <c r="AN142" i="42"/>
  <c r="AN114" i="42"/>
  <c r="AE112" i="42"/>
  <c r="AM112" i="42" s="1"/>
  <c r="AE119" i="42"/>
  <c r="AM119" i="42" s="1"/>
  <c r="AN120" i="42"/>
  <c r="AE137" i="42"/>
  <c r="AM137" i="42" s="1"/>
  <c r="AN106" i="42"/>
  <c r="AN56" i="42"/>
  <c r="AN84" i="42"/>
  <c r="AN70" i="41"/>
  <c r="V109" i="41"/>
  <c r="I21" i="47"/>
  <c r="AN54" i="41"/>
  <c r="AE56" i="41"/>
  <c r="AM56" i="41" s="1"/>
  <c r="AS113" i="41"/>
  <c r="AS111" i="41" s="1"/>
  <c r="AN67" i="41"/>
  <c r="AE76" i="41"/>
  <c r="AM76" i="41" s="1"/>
  <c r="AN33" i="41"/>
  <c r="AN107" i="41"/>
  <c r="AN26" i="41"/>
  <c r="AE70" i="40"/>
  <c r="AM70" i="40" s="1"/>
  <c r="AE111" i="40"/>
  <c r="AM111" i="40" s="1"/>
  <c r="AN122" i="40"/>
  <c r="AE124" i="40"/>
  <c r="AM124" i="40" s="1"/>
  <c r="AE95" i="40"/>
  <c r="AM95" i="40" s="1"/>
  <c r="AE100" i="40"/>
  <c r="AM100" i="40" s="1"/>
  <c r="AN78" i="40"/>
  <c r="AN38" i="40"/>
  <c r="AN51" i="40"/>
  <c r="AE108" i="40"/>
  <c r="AM108" i="40" s="1"/>
  <c r="AL130" i="40"/>
  <c r="AE20" i="47" s="1"/>
  <c r="AN17" i="40"/>
  <c r="AN44" i="40"/>
  <c r="AN119" i="40"/>
  <c r="AE68" i="39"/>
  <c r="AM68" i="39" s="1"/>
  <c r="AE87" i="39"/>
  <c r="AM87" i="39" s="1"/>
  <c r="AN89" i="39"/>
  <c r="AE57" i="39"/>
  <c r="AM57" i="39" s="1"/>
  <c r="AE73" i="39"/>
  <c r="AM73" i="39" s="1"/>
  <c r="AN54" i="39"/>
  <c r="AN36" i="32"/>
  <c r="AN159" i="29"/>
  <c r="V226" i="32"/>
  <c r="AN176" i="32"/>
  <c r="AN41" i="32"/>
  <c r="AN145" i="29"/>
  <c r="V155" i="42"/>
  <c r="AA154" i="42" s="1"/>
  <c r="AL131" i="40"/>
  <c r="V133" i="40"/>
  <c r="AE82" i="39"/>
  <c r="AM82" i="39" s="1"/>
  <c r="AS58" i="31"/>
  <c r="AL17" i="47" s="1"/>
  <c r="V61" i="31"/>
  <c r="AA60" i="31" s="1"/>
  <c r="AL80" i="30"/>
  <c r="AE16" i="47" s="1"/>
  <c r="AL81" i="30"/>
  <c r="Z16" i="47"/>
  <c r="AS22" i="30"/>
  <c r="AN126" i="29"/>
  <c r="AN54" i="29"/>
  <c r="AL153" i="29"/>
  <c r="Z15" i="47"/>
  <c r="AN91" i="29"/>
  <c r="AN81" i="29"/>
  <c r="V152" i="29"/>
  <c r="O15" i="47" s="1"/>
  <c r="AL100" i="39"/>
  <c r="AE127" i="42"/>
  <c r="AA129" i="42"/>
  <c r="AQ127" i="42"/>
  <c r="AQ129" i="42" s="1"/>
  <c r="AC129" i="42"/>
  <c r="AP127" i="42"/>
  <c r="AP129" i="42" s="1"/>
  <c r="AB129" i="42"/>
  <c r="AP123" i="42"/>
  <c r="AP126" i="42" s="1"/>
  <c r="AB126" i="42"/>
  <c r="AE123" i="42"/>
  <c r="AA126" i="42"/>
  <c r="AQ123" i="42"/>
  <c r="AQ126" i="42" s="1"/>
  <c r="AC126" i="42"/>
  <c r="AQ107" i="42"/>
  <c r="AQ109" i="42" s="1"/>
  <c r="AC109" i="42"/>
  <c r="AA109" i="42"/>
  <c r="AE107" i="42"/>
  <c r="AB109" i="42"/>
  <c r="AP107" i="42"/>
  <c r="AP109" i="42" s="1"/>
  <c r="AC99" i="42"/>
  <c r="AQ97" i="42"/>
  <c r="AQ99" i="42" s="1"/>
  <c r="AB99" i="42"/>
  <c r="AP97" i="42"/>
  <c r="AP99" i="42" s="1"/>
  <c r="AE97" i="42"/>
  <c r="AA99" i="42"/>
  <c r="AP93" i="42"/>
  <c r="AP96" i="42" s="1"/>
  <c r="AB96" i="42"/>
  <c r="AE93" i="42"/>
  <c r="AA96" i="42"/>
  <c r="AQ93" i="42"/>
  <c r="AQ96" i="42" s="1"/>
  <c r="AC96" i="42"/>
  <c r="AE85" i="42"/>
  <c r="AA89" i="42"/>
  <c r="AP85" i="42"/>
  <c r="AP89" i="42" s="1"/>
  <c r="AB89" i="42"/>
  <c r="AC89" i="42"/>
  <c r="AQ85" i="42"/>
  <c r="AQ89" i="42" s="1"/>
  <c r="AE81" i="42"/>
  <c r="AA84" i="42"/>
  <c r="AP81" i="42"/>
  <c r="AP84" i="42" s="1"/>
  <c r="AB84" i="42"/>
  <c r="AQ81" i="42"/>
  <c r="AQ84" i="42" s="1"/>
  <c r="AC84" i="42"/>
  <c r="AE78" i="42"/>
  <c r="AA80" i="42"/>
  <c r="AP78" i="42"/>
  <c r="AP80" i="42" s="1"/>
  <c r="AB80" i="42"/>
  <c r="AQ78" i="42"/>
  <c r="AQ80" i="42" s="1"/>
  <c r="AC80" i="42"/>
  <c r="AE73" i="42"/>
  <c r="AA77" i="42"/>
  <c r="AP73" i="42"/>
  <c r="AP77" i="42" s="1"/>
  <c r="AB77" i="42"/>
  <c r="AQ73" i="42"/>
  <c r="AQ77" i="42" s="1"/>
  <c r="AC77" i="42"/>
  <c r="AE70" i="42"/>
  <c r="AA72" i="42"/>
  <c r="AP70" i="42"/>
  <c r="AP72" i="42" s="1"/>
  <c r="AB72" i="42"/>
  <c r="AQ70" i="42"/>
  <c r="AQ72" i="42" s="1"/>
  <c r="AC72" i="42"/>
  <c r="AE65" i="42"/>
  <c r="AA69" i="42"/>
  <c r="AP65" i="42"/>
  <c r="AP69" i="42" s="1"/>
  <c r="AB69" i="42"/>
  <c r="AQ65" i="42"/>
  <c r="AQ69" i="42" s="1"/>
  <c r="AC69" i="42"/>
  <c r="AE63" i="42"/>
  <c r="AA64" i="42"/>
  <c r="AA164" i="42"/>
  <c r="AP63" i="42"/>
  <c r="AB64" i="42"/>
  <c r="AB164" i="42"/>
  <c r="AQ63" i="42"/>
  <c r="AC64" i="42"/>
  <c r="AC164" i="42"/>
  <c r="AN64" i="42"/>
  <c r="AN164" i="42"/>
  <c r="AE57" i="42"/>
  <c r="AA62" i="42"/>
  <c r="AP57" i="42"/>
  <c r="AP62" i="42" s="1"/>
  <c r="AB62" i="42"/>
  <c r="AQ57" i="42"/>
  <c r="AQ62" i="42" s="1"/>
  <c r="AC62" i="42"/>
  <c r="AE53" i="42"/>
  <c r="AA56" i="42"/>
  <c r="AP53" i="42"/>
  <c r="AP56" i="42" s="1"/>
  <c r="AB56" i="42"/>
  <c r="AQ53" i="42"/>
  <c r="AQ56" i="42" s="1"/>
  <c r="AC56" i="42"/>
  <c r="AE49" i="42"/>
  <c r="AA52" i="42"/>
  <c r="AA159" i="42"/>
  <c r="AP49" i="42"/>
  <c r="AB52" i="42"/>
  <c r="AB159" i="42"/>
  <c r="AQ49" i="42"/>
  <c r="AC52" i="42"/>
  <c r="AC159" i="42"/>
  <c r="AN52" i="42"/>
  <c r="AN159" i="42"/>
  <c r="AE44" i="42"/>
  <c r="AA48" i="42"/>
  <c r="AP44" i="42"/>
  <c r="AP48" i="42" s="1"/>
  <c r="AB48" i="42"/>
  <c r="AQ44" i="42"/>
  <c r="AQ48" i="42" s="1"/>
  <c r="AC48" i="42"/>
  <c r="AE39" i="42"/>
  <c r="AA43" i="42"/>
  <c r="AA157" i="42"/>
  <c r="AP39" i="42"/>
  <c r="AB43" i="42"/>
  <c r="AB157" i="42"/>
  <c r="AQ39" i="42"/>
  <c r="AC43" i="42"/>
  <c r="AC157" i="42"/>
  <c r="AN43" i="42"/>
  <c r="AN157" i="42"/>
  <c r="AE37" i="42"/>
  <c r="AA38" i="42"/>
  <c r="AA165" i="42"/>
  <c r="AP37" i="42"/>
  <c r="AB38" i="42"/>
  <c r="AB165" i="42"/>
  <c r="AQ37" i="42"/>
  <c r="AC38" i="42"/>
  <c r="AC165" i="42"/>
  <c r="AN38" i="42"/>
  <c r="AN165" i="42"/>
  <c r="AE34" i="42"/>
  <c r="AA36" i="42"/>
  <c r="AP34" i="42"/>
  <c r="AP36" i="42" s="1"/>
  <c r="AB36" i="42"/>
  <c r="AQ34" i="42"/>
  <c r="AQ36" i="42" s="1"/>
  <c r="AC36" i="42"/>
  <c r="AE32" i="42"/>
  <c r="AA33" i="42"/>
  <c r="AP32" i="42"/>
  <c r="AP33" i="42" s="1"/>
  <c r="AB33" i="42"/>
  <c r="AQ32" i="42"/>
  <c r="AQ33" i="42" s="1"/>
  <c r="AC33" i="42"/>
  <c r="AE29" i="42"/>
  <c r="AA31" i="42"/>
  <c r="AP29" i="42"/>
  <c r="AP31" i="42" s="1"/>
  <c r="AB31" i="42"/>
  <c r="AQ29" i="42"/>
  <c r="AQ31" i="42" s="1"/>
  <c r="AC31" i="42"/>
  <c r="AE26" i="42"/>
  <c r="AA28" i="42"/>
  <c r="AP26" i="42"/>
  <c r="AP28" i="42" s="1"/>
  <c r="AB28" i="42"/>
  <c r="AQ26" i="42"/>
  <c r="AQ28" i="42" s="1"/>
  <c r="AC28" i="42"/>
  <c r="AE23" i="42"/>
  <c r="AA25" i="42"/>
  <c r="AP23" i="42"/>
  <c r="AP25" i="42" s="1"/>
  <c r="AB25" i="42"/>
  <c r="AQ23" i="42"/>
  <c r="AQ25" i="42" s="1"/>
  <c r="AC25" i="42"/>
  <c r="AE20" i="42"/>
  <c r="AA22" i="42"/>
  <c r="AP20" i="42"/>
  <c r="AP22" i="42" s="1"/>
  <c r="AB22" i="42"/>
  <c r="AQ20" i="42"/>
  <c r="AQ22" i="42" s="1"/>
  <c r="AC22" i="42"/>
  <c r="AE17" i="42"/>
  <c r="AA163" i="42"/>
  <c r="AP17" i="42"/>
  <c r="AP163" i="42" s="1"/>
  <c r="AB163" i="42"/>
  <c r="AQ17" i="42"/>
  <c r="AQ163" i="42" s="1"/>
  <c r="AC163" i="42"/>
  <c r="AE14" i="42"/>
  <c r="AA158" i="42"/>
  <c r="AP14" i="42"/>
  <c r="AP158" i="42" s="1"/>
  <c r="AB158" i="42"/>
  <c r="AQ14" i="42"/>
  <c r="AQ158" i="42" s="1"/>
  <c r="AC158" i="42"/>
  <c r="AE12" i="42"/>
  <c r="AA19" i="42"/>
  <c r="AA156" i="42"/>
  <c r="AP12" i="42"/>
  <c r="AB19" i="42"/>
  <c r="AB156" i="42"/>
  <c r="AQ12" i="42"/>
  <c r="AC19" i="42"/>
  <c r="AC156" i="42"/>
  <c r="AN19" i="42"/>
  <c r="AN156" i="42"/>
  <c r="AP143" i="42"/>
  <c r="AP146" i="42" s="1"/>
  <c r="AB146" i="42"/>
  <c r="AQ143" i="42"/>
  <c r="AQ146" i="42" s="1"/>
  <c r="AC146" i="42"/>
  <c r="AA146" i="42"/>
  <c r="AE143" i="42"/>
  <c r="AQ130" i="42"/>
  <c r="AQ133" i="42" s="1"/>
  <c r="AC133" i="42"/>
  <c r="AE130" i="42"/>
  <c r="AA133" i="42"/>
  <c r="AP130" i="42"/>
  <c r="AP133" i="42" s="1"/>
  <c r="AB133" i="42"/>
  <c r="AB106" i="42"/>
  <c r="AP104" i="42"/>
  <c r="AP106" i="42" s="1"/>
  <c r="AC106" i="42"/>
  <c r="AQ104" i="42"/>
  <c r="AQ106" i="42" s="1"/>
  <c r="AA106" i="42"/>
  <c r="AE104" i="42"/>
  <c r="AQ147" i="42"/>
  <c r="AQ151" i="42" s="1"/>
  <c r="AC151" i="42"/>
  <c r="AP147" i="42"/>
  <c r="AP151" i="42" s="1"/>
  <c r="AB151" i="42"/>
  <c r="AE147" i="42"/>
  <c r="AA151" i="42"/>
  <c r="AP134" i="42"/>
  <c r="AP138" i="42" s="1"/>
  <c r="AB138" i="42"/>
  <c r="AQ134" i="42"/>
  <c r="AQ138" i="42" s="1"/>
  <c r="AC138" i="42"/>
  <c r="AE134" i="42"/>
  <c r="AA138" i="42"/>
  <c r="AA103" i="42"/>
  <c r="AE100" i="42"/>
  <c r="AQ100" i="42"/>
  <c r="AQ103" i="42" s="1"/>
  <c r="AC103" i="42"/>
  <c r="AB103" i="42"/>
  <c r="AP100" i="42"/>
  <c r="AP103" i="42" s="1"/>
  <c r="AQ110" i="42"/>
  <c r="AQ114" i="42" s="1"/>
  <c r="AC114" i="42"/>
  <c r="AP110" i="42"/>
  <c r="AP114" i="42" s="1"/>
  <c r="AB114" i="42"/>
  <c r="AE110" i="42"/>
  <c r="AA114" i="42"/>
  <c r="AA92" i="42"/>
  <c r="AE90" i="42"/>
  <c r="AP90" i="42"/>
  <c r="AP92" i="42" s="1"/>
  <c r="AB92" i="42"/>
  <c r="AQ90" i="42"/>
  <c r="AQ92" i="42" s="1"/>
  <c r="AC92" i="42"/>
  <c r="AA142" i="42"/>
  <c r="AE139" i="42"/>
  <c r="AB142" i="42"/>
  <c r="AP139" i="42"/>
  <c r="AP142" i="42" s="1"/>
  <c r="AQ139" i="42"/>
  <c r="AQ142" i="42" s="1"/>
  <c r="AC142" i="42"/>
  <c r="AP121" i="42"/>
  <c r="AP122" i="42" s="1"/>
  <c r="AB122" i="42"/>
  <c r="AC122" i="42"/>
  <c r="AQ121" i="42"/>
  <c r="AQ122" i="42" s="1"/>
  <c r="AA122" i="42"/>
  <c r="AE121" i="42"/>
  <c r="AP117" i="42"/>
  <c r="AP120" i="42" s="1"/>
  <c r="AB120" i="42"/>
  <c r="AQ117" i="42"/>
  <c r="AQ120" i="42" s="1"/>
  <c r="AC120" i="42"/>
  <c r="AE117" i="42"/>
  <c r="AA120" i="42"/>
  <c r="AQ115" i="42"/>
  <c r="AQ116" i="42" s="1"/>
  <c r="AC116" i="42"/>
  <c r="AP115" i="42"/>
  <c r="AP116" i="42" s="1"/>
  <c r="AB116" i="42"/>
  <c r="AE115" i="42"/>
  <c r="AA116" i="42"/>
  <c r="V153" i="42"/>
  <c r="W153" i="42"/>
  <c r="AE61" i="42"/>
  <c r="AM61" i="42" s="1"/>
  <c r="AE27" i="42"/>
  <c r="AM27" i="42" s="1"/>
  <c r="AE24" i="42"/>
  <c r="AM24" i="42" s="1"/>
  <c r="AE18" i="42"/>
  <c r="AM18" i="42" s="1"/>
  <c r="AN163" i="42"/>
  <c r="AO155" i="42"/>
  <c r="AE105" i="42"/>
  <c r="AM105" i="42" s="1"/>
  <c r="AE98" i="42"/>
  <c r="AM98" i="42" s="1"/>
  <c r="AE108" i="42"/>
  <c r="AM108" i="42" s="1"/>
  <c r="AE128" i="42"/>
  <c r="AM128" i="42" s="1"/>
  <c r="AE88" i="42"/>
  <c r="AM88" i="42" s="1"/>
  <c r="AE51" i="42"/>
  <c r="AM51" i="42" s="1"/>
  <c r="AE47" i="42"/>
  <c r="AM47" i="42" s="1"/>
  <c r="AE46" i="42"/>
  <c r="AM46" i="42" s="1"/>
  <c r="AE42" i="42"/>
  <c r="AM42" i="42" s="1"/>
  <c r="AE13" i="42"/>
  <c r="AM13" i="42" s="1"/>
  <c r="AS155" i="42"/>
  <c r="AE111" i="42"/>
  <c r="AM111" i="42" s="1"/>
  <c r="AE91" i="42"/>
  <c r="AM91" i="42" s="1"/>
  <c r="V152" i="42"/>
  <c r="AE149" i="42"/>
  <c r="AM149" i="42" s="1"/>
  <c r="AE136" i="42"/>
  <c r="AM136" i="42" s="1"/>
  <c r="AO152" i="42"/>
  <c r="AH22" i="47" s="1"/>
  <c r="AE59" i="42"/>
  <c r="AM59" i="42" s="1"/>
  <c r="AE55" i="42"/>
  <c r="AM55" i="42" s="1"/>
  <c r="AE150" i="42"/>
  <c r="AM150" i="42" s="1"/>
  <c r="AN133" i="42"/>
  <c r="AE87" i="42"/>
  <c r="AM87" i="42" s="1"/>
  <c r="AN138" i="42"/>
  <c r="AE118" i="42"/>
  <c r="AM118" i="42" s="1"/>
  <c r="AE54" i="42"/>
  <c r="AM54" i="42" s="1"/>
  <c r="AE45" i="42"/>
  <c r="AM45" i="42" s="1"/>
  <c r="AE41" i="42"/>
  <c r="AM41" i="42" s="1"/>
  <c r="AE40" i="42"/>
  <c r="AM40" i="42" s="1"/>
  <c r="AE35" i="42"/>
  <c r="AM35" i="42" s="1"/>
  <c r="AE30" i="42"/>
  <c r="AM30" i="42" s="1"/>
  <c r="AN151" i="42"/>
  <c r="AE144" i="42"/>
  <c r="AM144" i="42" s="1"/>
  <c r="AE132" i="42"/>
  <c r="AM132" i="42" s="1"/>
  <c r="AN129" i="42"/>
  <c r="AN109" i="42"/>
  <c r="AE101" i="42"/>
  <c r="AM101" i="42" s="1"/>
  <c r="AN99" i="42"/>
  <c r="AN89" i="42"/>
  <c r="AE83" i="42"/>
  <c r="AM83" i="42" s="1"/>
  <c r="AE82" i="42"/>
  <c r="AM82" i="42" s="1"/>
  <c r="AE79" i="42"/>
  <c r="AM79" i="42" s="1"/>
  <c r="AE76" i="42"/>
  <c r="AM76" i="42" s="1"/>
  <c r="AE75" i="42"/>
  <c r="AM75" i="42" s="1"/>
  <c r="AE74" i="42"/>
  <c r="AM74" i="42" s="1"/>
  <c r="AE71" i="42"/>
  <c r="AM71" i="42" s="1"/>
  <c r="AE68" i="42"/>
  <c r="AM68" i="42" s="1"/>
  <c r="AE67" i="42"/>
  <c r="AM67" i="42" s="1"/>
  <c r="AE66" i="42"/>
  <c r="AM66" i="42" s="1"/>
  <c r="AE60" i="42"/>
  <c r="AM60" i="42" s="1"/>
  <c r="AE58" i="42"/>
  <c r="AM58" i="42" s="1"/>
  <c r="AE50" i="42"/>
  <c r="AM50" i="42" s="1"/>
  <c r="AE21" i="42"/>
  <c r="AM21" i="42" s="1"/>
  <c r="AE16" i="42"/>
  <c r="AM16" i="42" s="1"/>
  <c r="AE15" i="42"/>
  <c r="AM15" i="42" s="1"/>
  <c r="AE148" i="42"/>
  <c r="AM148" i="42" s="1"/>
  <c r="AN146" i="42"/>
  <c r="AE131" i="42"/>
  <c r="AM131" i="42" s="1"/>
  <c r="AE113" i="42"/>
  <c r="AM113" i="42" s="1"/>
  <c r="AE102" i="42"/>
  <c r="AM102" i="42" s="1"/>
  <c r="AP99" i="41"/>
  <c r="AP102" i="41" s="1"/>
  <c r="AB102" i="41"/>
  <c r="AE99" i="41"/>
  <c r="AA102" i="41"/>
  <c r="AQ99" i="41"/>
  <c r="AQ102" i="41" s="1"/>
  <c r="AC102" i="41"/>
  <c r="AP78" i="41"/>
  <c r="AB83" i="41"/>
  <c r="AE78" i="41"/>
  <c r="AA83" i="41"/>
  <c r="AQ78" i="41"/>
  <c r="AC83" i="41"/>
  <c r="AC74" i="41"/>
  <c r="AQ71" i="41"/>
  <c r="AQ74" i="41" s="1"/>
  <c r="AA74" i="41"/>
  <c r="AE71" i="41"/>
  <c r="AB74" i="41"/>
  <c r="AP71" i="41"/>
  <c r="AP74" i="41" s="1"/>
  <c r="AP65" i="41"/>
  <c r="AP67" i="41" s="1"/>
  <c r="AB67" i="41"/>
  <c r="AC67" i="41"/>
  <c r="AQ65" i="41"/>
  <c r="AQ67" i="41" s="1"/>
  <c r="AE65" i="41"/>
  <c r="AA67" i="41"/>
  <c r="AQ60" i="41"/>
  <c r="AQ64" i="41" s="1"/>
  <c r="AC64" i="41"/>
  <c r="AP60" i="41"/>
  <c r="AP64" i="41" s="1"/>
  <c r="AB64" i="41"/>
  <c r="AA64" i="41"/>
  <c r="AE60" i="41"/>
  <c r="AE55" i="41"/>
  <c r="AA59" i="41"/>
  <c r="AB59" i="41"/>
  <c r="AP55" i="41"/>
  <c r="AP59" i="41" s="1"/>
  <c r="AC59" i="41"/>
  <c r="AQ55" i="41"/>
  <c r="AQ59" i="41" s="1"/>
  <c r="AE52" i="41"/>
  <c r="AA54" i="41"/>
  <c r="AP52" i="41"/>
  <c r="AP54" i="41" s="1"/>
  <c r="AB54" i="41"/>
  <c r="AQ52" i="41"/>
  <c r="AQ54" i="41" s="1"/>
  <c r="AC54" i="41"/>
  <c r="AE50" i="41"/>
  <c r="AA51" i="41"/>
  <c r="AP50" i="41"/>
  <c r="AP51" i="41" s="1"/>
  <c r="AB51" i="41"/>
  <c r="AQ50" i="41"/>
  <c r="AQ51" i="41" s="1"/>
  <c r="AC51" i="41"/>
  <c r="AE44" i="41"/>
  <c r="AA49" i="41"/>
  <c r="AP44" i="41"/>
  <c r="AP49" i="41" s="1"/>
  <c r="AB49" i="41"/>
  <c r="AQ44" i="41"/>
  <c r="AQ49" i="41" s="1"/>
  <c r="AC49" i="41"/>
  <c r="AE39" i="41"/>
  <c r="AA43" i="41"/>
  <c r="AP39" i="41"/>
  <c r="AP43" i="41" s="1"/>
  <c r="AB43" i="41"/>
  <c r="AQ39" i="41"/>
  <c r="AQ43" i="41" s="1"/>
  <c r="AC43" i="41"/>
  <c r="AE34" i="41"/>
  <c r="AA38" i="41"/>
  <c r="AP34" i="41"/>
  <c r="AP38" i="41" s="1"/>
  <c r="AB38" i="41"/>
  <c r="AQ34" i="41"/>
  <c r="AQ38" i="41" s="1"/>
  <c r="AC38" i="41"/>
  <c r="AE30" i="41"/>
  <c r="AA115" i="41"/>
  <c r="AP30" i="41"/>
  <c r="AB115" i="41"/>
  <c r="AQ30" i="41"/>
  <c r="AC115" i="41"/>
  <c r="AE29" i="41"/>
  <c r="AA33" i="41"/>
  <c r="AP29" i="41"/>
  <c r="AB33" i="41"/>
  <c r="AQ29" i="41"/>
  <c r="AQ33" i="41" s="1"/>
  <c r="AC33" i="41"/>
  <c r="AE27" i="41"/>
  <c r="AA28" i="41"/>
  <c r="AA120" i="41"/>
  <c r="AP27" i="41"/>
  <c r="AB28" i="41"/>
  <c r="AB120" i="41"/>
  <c r="AQ27" i="41"/>
  <c r="AC28" i="41"/>
  <c r="AC120" i="41"/>
  <c r="AN28" i="41"/>
  <c r="AN120" i="41"/>
  <c r="AE21" i="41"/>
  <c r="AA26" i="41"/>
  <c r="AP21" i="41"/>
  <c r="AP26" i="41" s="1"/>
  <c r="AB26" i="41"/>
  <c r="AQ21" i="41"/>
  <c r="AQ26" i="41" s="1"/>
  <c r="AC26" i="41"/>
  <c r="AE19" i="41"/>
  <c r="AA119" i="41"/>
  <c r="AP19" i="41"/>
  <c r="AP119" i="41" s="1"/>
  <c r="AB119" i="41"/>
  <c r="AQ19" i="41"/>
  <c r="AQ119" i="41" s="1"/>
  <c r="AC119" i="41"/>
  <c r="AE16" i="41"/>
  <c r="AA20" i="41"/>
  <c r="AA113" i="41"/>
  <c r="AP16" i="41"/>
  <c r="AB20" i="41"/>
  <c r="AB113" i="41"/>
  <c r="AQ16" i="41"/>
  <c r="AC20" i="41"/>
  <c r="AC113" i="41"/>
  <c r="AN20" i="41"/>
  <c r="AN113" i="41"/>
  <c r="AE12" i="41"/>
  <c r="AA15" i="41"/>
  <c r="AA112" i="41"/>
  <c r="AP12" i="41"/>
  <c r="AB15" i="41"/>
  <c r="AB112" i="41"/>
  <c r="AQ12" i="41"/>
  <c r="AC15" i="41"/>
  <c r="AC112" i="41"/>
  <c r="AN15" i="41"/>
  <c r="AN112" i="41"/>
  <c r="AB98" i="41"/>
  <c r="AP96" i="41"/>
  <c r="AP98" i="41" s="1"/>
  <c r="AE96" i="41"/>
  <c r="AA98" i="41"/>
  <c r="AQ96" i="41"/>
  <c r="AQ98" i="41" s="1"/>
  <c r="AC98" i="41"/>
  <c r="AC95" i="41"/>
  <c r="AQ89" i="41"/>
  <c r="AQ95" i="41" s="1"/>
  <c r="AP89" i="41"/>
  <c r="AP95" i="41" s="1"/>
  <c r="AB95" i="41"/>
  <c r="AE89" i="41"/>
  <c r="AA95" i="41"/>
  <c r="AM84" i="41"/>
  <c r="AQ75" i="41"/>
  <c r="AQ77" i="41" s="1"/>
  <c r="AC77" i="41"/>
  <c r="AP75" i="41"/>
  <c r="AP77" i="41" s="1"/>
  <c r="AB77" i="41"/>
  <c r="AA77" i="41"/>
  <c r="AE75" i="41"/>
  <c r="AP82" i="41"/>
  <c r="AP121" i="41" s="1"/>
  <c r="AB121" i="41"/>
  <c r="AA121" i="41"/>
  <c r="AE82" i="41"/>
  <c r="AQ82" i="41"/>
  <c r="AQ121" i="41" s="1"/>
  <c r="AC121" i="41"/>
  <c r="AQ103" i="41"/>
  <c r="AQ107" i="41" s="1"/>
  <c r="AC107" i="41"/>
  <c r="AE103" i="41"/>
  <c r="AA107" i="41"/>
  <c r="AB107" i="41"/>
  <c r="AP103" i="41"/>
  <c r="AP107" i="41" s="1"/>
  <c r="AQ68" i="41"/>
  <c r="AQ70" i="41" s="1"/>
  <c r="AC70" i="41"/>
  <c r="AP68" i="41"/>
  <c r="AP70" i="41" s="1"/>
  <c r="AB70" i="41"/>
  <c r="AA70" i="41"/>
  <c r="AE68" i="41"/>
  <c r="AE31" i="41"/>
  <c r="AM31" i="41" s="1"/>
  <c r="AE25" i="41"/>
  <c r="AM25" i="41" s="1"/>
  <c r="AE24" i="41"/>
  <c r="AM24" i="41" s="1"/>
  <c r="AE23" i="41"/>
  <c r="AM23" i="41" s="1"/>
  <c r="AE22" i="41"/>
  <c r="AM22" i="41" s="1"/>
  <c r="AE14" i="41"/>
  <c r="AM14" i="41" s="1"/>
  <c r="AE13" i="41"/>
  <c r="AM13" i="41" s="1"/>
  <c r="AS108" i="41"/>
  <c r="AL21" i="47" s="1"/>
  <c r="AO108" i="41"/>
  <c r="AH21" i="47" s="1"/>
  <c r="V108" i="41"/>
  <c r="AN98" i="41"/>
  <c r="AN95" i="41"/>
  <c r="AQ88" i="41"/>
  <c r="AC88" i="41"/>
  <c r="AA88" i="41"/>
  <c r="AE86" i="41"/>
  <c r="AM86" i="41" s="1"/>
  <c r="AE87" i="41"/>
  <c r="AM87" i="41" s="1"/>
  <c r="AE18" i="41"/>
  <c r="AM18" i="41" s="1"/>
  <c r="AB88" i="41"/>
  <c r="AE62" i="41"/>
  <c r="AM62" i="41" s="1"/>
  <c r="AE61" i="41"/>
  <c r="AM61" i="41" s="1"/>
  <c r="AE100" i="41"/>
  <c r="AM100" i="41" s="1"/>
  <c r="AE97" i="41"/>
  <c r="AM97" i="41" s="1"/>
  <c r="V111" i="41"/>
  <c r="AA110" i="41" s="1"/>
  <c r="AE106" i="41"/>
  <c r="AM106" i="41" s="1"/>
  <c r="AN102" i="41"/>
  <c r="AN83" i="41"/>
  <c r="AN74" i="41"/>
  <c r="AE66" i="41"/>
  <c r="AM66" i="41" s="1"/>
  <c r="AE63" i="41"/>
  <c r="AM63" i="41" s="1"/>
  <c r="AN64" i="41"/>
  <c r="AN59" i="41"/>
  <c r="AE53" i="41"/>
  <c r="AM53" i="41" s="1"/>
  <c r="AE48" i="41"/>
  <c r="AM48" i="41" s="1"/>
  <c r="AE47" i="41"/>
  <c r="AM47" i="41" s="1"/>
  <c r="AE46" i="41"/>
  <c r="AM46" i="41" s="1"/>
  <c r="AE45" i="41"/>
  <c r="AM45" i="41" s="1"/>
  <c r="AN77" i="41"/>
  <c r="AE101" i="41"/>
  <c r="AM101" i="41" s="1"/>
  <c r="AP88" i="41"/>
  <c r="AE92" i="41"/>
  <c r="AM92" i="41" s="1"/>
  <c r="AE57" i="41"/>
  <c r="AM57" i="41" s="1"/>
  <c r="AE42" i="41"/>
  <c r="AM42" i="41" s="1"/>
  <c r="AE41" i="41"/>
  <c r="AM41" i="41" s="1"/>
  <c r="AE40" i="41"/>
  <c r="AM40" i="41" s="1"/>
  <c r="AE37" i="41"/>
  <c r="AM37" i="41" s="1"/>
  <c r="AE36" i="41"/>
  <c r="AM36" i="41" s="1"/>
  <c r="AE35" i="41"/>
  <c r="AM35" i="41" s="1"/>
  <c r="AE32" i="41"/>
  <c r="AM32" i="41" s="1"/>
  <c r="AN115" i="41"/>
  <c r="AN119" i="41"/>
  <c r="AE17" i="41"/>
  <c r="AM17" i="41" s="1"/>
  <c r="AO111" i="41"/>
  <c r="AE81" i="41"/>
  <c r="AM81" i="41" s="1"/>
  <c r="AE73" i="41"/>
  <c r="AM73" i="41" s="1"/>
  <c r="AE69" i="41"/>
  <c r="AM69" i="41" s="1"/>
  <c r="AE58" i="41"/>
  <c r="AM58" i="41" s="1"/>
  <c r="AN88" i="41"/>
  <c r="AE80" i="41"/>
  <c r="AM80" i="41" s="1"/>
  <c r="AE123" i="40"/>
  <c r="AA126" i="40"/>
  <c r="AQ123" i="40"/>
  <c r="AQ126" i="40" s="1"/>
  <c r="AC126" i="40"/>
  <c r="AP123" i="40"/>
  <c r="AP126" i="40" s="1"/>
  <c r="AB126" i="40"/>
  <c r="AB93" i="40"/>
  <c r="AP91" i="40"/>
  <c r="AP93" i="40" s="1"/>
  <c r="AC93" i="40"/>
  <c r="AQ91" i="40"/>
  <c r="AQ93" i="40" s="1"/>
  <c r="AE91" i="40"/>
  <c r="AA93" i="40"/>
  <c r="AE88" i="40"/>
  <c r="AA90" i="40"/>
  <c r="AC90" i="40"/>
  <c r="AQ88" i="40"/>
  <c r="AQ90" i="40" s="1"/>
  <c r="AB90" i="40"/>
  <c r="AP88" i="40"/>
  <c r="AP90" i="40" s="1"/>
  <c r="AE82" i="40"/>
  <c r="AA85" i="40"/>
  <c r="AP82" i="40"/>
  <c r="AP85" i="40" s="1"/>
  <c r="AB85" i="40"/>
  <c r="AQ82" i="40"/>
  <c r="AQ85" i="40" s="1"/>
  <c r="AC85" i="40"/>
  <c r="AE79" i="40"/>
  <c r="AA81" i="40"/>
  <c r="AP79" i="40"/>
  <c r="AP81" i="40" s="1"/>
  <c r="AB81" i="40"/>
  <c r="AQ79" i="40"/>
  <c r="AQ81" i="40" s="1"/>
  <c r="AC81" i="40"/>
  <c r="AE75" i="40"/>
  <c r="AA78" i="40"/>
  <c r="AP75" i="40"/>
  <c r="AP78" i="40" s="1"/>
  <c r="AB78" i="40"/>
  <c r="AQ75" i="40"/>
  <c r="AQ78" i="40" s="1"/>
  <c r="AC78" i="40"/>
  <c r="AE72" i="40"/>
  <c r="AA74" i="40"/>
  <c r="AP72" i="40"/>
  <c r="AP74" i="40" s="1"/>
  <c r="AB74" i="40"/>
  <c r="AQ72" i="40"/>
  <c r="AQ74" i="40" s="1"/>
  <c r="AC74" i="40"/>
  <c r="AE67" i="40"/>
  <c r="AA71" i="40"/>
  <c r="AP67" i="40"/>
  <c r="AP71" i="40" s="1"/>
  <c r="AB71" i="40"/>
  <c r="AQ67" i="40"/>
  <c r="AQ71" i="40" s="1"/>
  <c r="AC71" i="40"/>
  <c r="AE62" i="40"/>
  <c r="AA66" i="40"/>
  <c r="AP62" i="40"/>
  <c r="AP66" i="40" s="1"/>
  <c r="AB66" i="40"/>
  <c r="AQ62" i="40"/>
  <c r="AQ66" i="40" s="1"/>
  <c r="AC66" i="40"/>
  <c r="AE57" i="40"/>
  <c r="AA61" i="40"/>
  <c r="AP57" i="40"/>
  <c r="AP61" i="40" s="1"/>
  <c r="AB61" i="40"/>
  <c r="AQ57" i="40"/>
  <c r="AQ61" i="40" s="1"/>
  <c r="AC61" i="40"/>
  <c r="AE52" i="40"/>
  <c r="AA56" i="40"/>
  <c r="AP52" i="40"/>
  <c r="AP56" i="40" s="1"/>
  <c r="AB56" i="40"/>
  <c r="AQ52" i="40"/>
  <c r="AQ56" i="40" s="1"/>
  <c r="AC56" i="40"/>
  <c r="AE48" i="40"/>
  <c r="AA137" i="40"/>
  <c r="AP48" i="40"/>
  <c r="AB137" i="40"/>
  <c r="AQ48" i="40"/>
  <c r="AQ137" i="40" s="1"/>
  <c r="AC137" i="40"/>
  <c r="AE47" i="40"/>
  <c r="AA51" i="40"/>
  <c r="AP47" i="40"/>
  <c r="AB51" i="40"/>
  <c r="AQ47" i="40"/>
  <c r="AC51" i="40"/>
  <c r="AE45" i="40"/>
  <c r="AA46" i="40"/>
  <c r="AA142" i="40"/>
  <c r="AP45" i="40"/>
  <c r="AB46" i="40"/>
  <c r="AB142" i="40"/>
  <c r="AQ45" i="40"/>
  <c r="AC46" i="40"/>
  <c r="AC142" i="40"/>
  <c r="AN46" i="40"/>
  <c r="AN142" i="40"/>
  <c r="AE39" i="40"/>
  <c r="AA44" i="40"/>
  <c r="AP39" i="40"/>
  <c r="AP44" i="40" s="1"/>
  <c r="AB44" i="40"/>
  <c r="AQ39" i="40"/>
  <c r="AQ44" i="40" s="1"/>
  <c r="AC44" i="40"/>
  <c r="AE34" i="40"/>
  <c r="AA38" i="40"/>
  <c r="AP34" i="40"/>
  <c r="AP38" i="40" s="1"/>
  <c r="AB38" i="40"/>
  <c r="AQ34" i="40"/>
  <c r="AQ38" i="40" s="1"/>
  <c r="AC38" i="40"/>
  <c r="AE29" i="40"/>
  <c r="AA33" i="40"/>
  <c r="AA136" i="40"/>
  <c r="AP29" i="40"/>
  <c r="AB33" i="40"/>
  <c r="AB136" i="40"/>
  <c r="AQ29" i="40"/>
  <c r="AC33" i="40"/>
  <c r="AC136" i="40"/>
  <c r="AN33" i="40"/>
  <c r="AN136" i="40"/>
  <c r="AE27" i="40"/>
  <c r="AA141" i="40"/>
  <c r="AP27" i="40"/>
  <c r="AP141" i="40" s="1"/>
  <c r="AB141" i="40"/>
  <c r="AQ27" i="40"/>
  <c r="AQ141" i="40" s="1"/>
  <c r="AC141" i="40"/>
  <c r="AE26" i="40"/>
  <c r="AA138" i="40"/>
  <c r="AP26" i="40"/>
  <c r="AP138" i="40" s="1"/>
  <c r="AB138" i="40"/>
  <c r="AQ26" i="40"/>
  <c r="AQ138" i="40" s="1"/>
  <c r="AC138" i="40"/>
  <c r="AE23" i="40"/>
  <c r="AA28" i="40"/>
  <c r="AA135" i="40"/>
  <c r="AP23" i="40"/>
  <c r="AB28" i="40"/>
  <c r="AB135" i="40"/>
  <c r="AQ23" i="40"/>
  <c r="AC28" i="40"/>
  <c r="AC135" i="40"/>
  <c r="AN28" i="40"/>
  <c r="AN135" i="40"/>
  <c r="AE21" i="40"/>
  <c r="AA22" i="40"/>
  <c r="AA143" i="40"/>
  <c r="AP21" i="40"/>
  <c r="AB22" i="40"/>
  <c r="AB143" i="40"/>
  <c r="AQ21" i="40"/>
  <c r="AC22" i="40"/>
  <c r="AC143" i="40"/>
  <c r="AN22" i="40"/>
  <c r="AN143" i="40"/>
  <c r="AE18" i="40"/>
  <c r="AA20" i="40"/>
  <c r="AP18" i="40"/>
  <c r="AP20" i="40" s="1"/>
  <c r="AB20" i="40"/>
  <c r="AQ18" i="40"/>
  <c r="AQ20" i="40" s="1"/>
  <c r="AC20" i="40"/>
  <c r="AE15" i="40"/>
  <c r="AA17" i="40"/>
  <c r="AP15" i="40"/>
  <c r="AP17" i="40" s="1"/>
  <c r="AB17" i="40"/>
  <c r="AQ15" i="40"/>
  <c r="AQ17" i="40" s="1"/>
  <c r="AC17" i="40"/>
  <c r="AP110" i="40"/>
  <c r="AP114" i="40" s="1"/>
  <c r="AB114" i="40"/>
  <c r="AA114" i="40"/>
  <c r="AE110" i="40"/>
  <c r="AQ110" i="40"/>
  <c r="AQ114" i="40" s="1"/>
  <c r="AC114" i="40"/>
  <c r="AC109" i="40"/>
  <c r="AQ105" i="40"/>
  <c r="AQ109" i="40" s="1"/>
  <c r="AE105" i="40"/>
  <c r="AA109" i="40"/>
  <c r="AP105" i="40"/>
  <c r="AP109" i="40" s="1"/>
  <c r="AB109" i="40"/>
  <c r="AE12" i="40"/>
  <c r="AA14" i="40"/>
  <c r="AA134" i="40"/>
  <c r="AP12" i="40"/>
  <c r="AB134" i="40"/>
  <c r="AB14" i="40"/>
  <c r="AQ12" i="40"/>
  <c r="AC14" i="40"/>
  <c r="AC134" i="40"/>
  <c r="AN14" i="40"/>
  <c r="AN134" i="40"/>
  <c r="AE102" i="40"/>
  <c r="AA104" i="40"/>
  <c r="AP102" i="40"/>
  <c r="AP104" i="40" s="1"/>
  <c r="AB104" i="40"/>
  <c r="AQ102" i="40"/>
  <c r="AQ104" i="40" s="1"/>
  <c r="AC104" i="40"/>
  <c r="AM94" i="40"/>
  <c r="AE127" i="40"/>
  <c r="AA129" i="40"/>
  <c r="AC129" i="40"/>
  <c r="AQ127" i="40"/>
  <c r="AQ129" i="40" s="1"/>
  <c r="AP127" i="40"/>
  <c r="AP129" i="40" s="1"/>
  <c r="AB129" i="40"/>
  <c r="AQ120" i="40"/>
  <c r="AQ122" i="40" s="1"/>
  <c r="AC122" i="40"/>
  <c r="AE120" i="40"/>
  <c r="AA122" i="40"/>
  <c r="AP120" i="40"/>
  <c r="AP122" i="40" s="1"/>
  <c r="AB122" i="40"/>
  <c r="AQ99" i="40"/>
  <c r="AQ101" i="40" s="1"/>
  <c r="AC101" i="40"/>
  <c r="AP99" i="40"/>
  <c r="AP101" i="40" s="1"/>
  <c r="AB101" i="40"/>
  <c r="AA101" i="40"/>
  <c r="AE99" i="40"/>
  <c r="AC119" i="40"/>
  <c r="AQ115" i="40"/>
  <c r="AQ119" i="40" s="1"/>
  <c r="AE115" i="40"/>
  <c r="AA119" i="40"/>
  <c r="AB119" i="40"/>
  <c r="AP115" i="40"/>
  <c r="AP119" i="40" s="1"/>
  <c r="AQ86" i="40"/>
  <c r="AQ87" i="40" s="1"/>
  <c r="AC87" i="40"/>
  <c r="AE86" i="40"/>
  <c r="AA87" i="40"/>
  <c r="AB87" i="40"/>
  <c r="AP86" i="40"/>
  <c r="AP87" i="40" s="1"/>
  <c r="V131" i="40"/>
  <c r="W131" i="40"/>
  <c r="AN126" i="40"/>
  <c r="AE107" i="40"/>
  <c r="AM107" i="40" s="1"/>
  <c r="AB98" i="40"/>
  <c r="AP98" i="40"/>
  <c r="AN93" i="40"/>
  <c r="AN90" i="40"/>
  <c r="AE84" i="40"/>
  <c r="AM84" i="40" s="1"/>
  <c r="AE83" i="40"/>
  <c r="AM83" i="40" s="1"/>
  <c r="AE80" i="40"/>
  <c r="AM80" i="40" s="1"/>
  <c r="AE77" i="40"/>
  <c r="AM77" i="40" s="1"/>
  <c r="AE76" i="40"/>
  <c r="AM76" i="40" s="1"/>
  <c r="AE68" i="40"/>
  <c r="AM68" i="40" s="1"/>
  <c r="AE65" i="40"/>
  <c r="AM65" i="40" s="1"/>
  <c r="AE60" i="40"/>
  <c r="AM60" i="40" s="1"/>
  <c r="AE32" i="40"/>
  <c r="AM32" i="40" s="1"/>
  <c r="AN141" i="40"/>
  <c r="AN114" i="40"/>
  <c r="AA132" i="40"/>
  <c r="AE125" i="40"/>
  <c r="AM125" i="40" s="1"/>
  <c r="AE97" i="40"/>
  <c r="AM97" i="40" s="1"/>
  <c r="AE73" i="40"/>
  <c r="AM73" i="40" s="1"/>
  <c r="AE69" i="40"/>
  <c r="AM69" i="40" s="1"/>
  <c r="AE58" i="40"/>
  <c r="AM58" i="40" s="1"/>
  <c r="AE53" i="40"/>
  <c r="AM53" i="40" s="1"/>
  <c r="AE50" i="40"/>
  <c r="AM50" i="40" s="1"/>
  <c r="AE49" i="40"/>
  <c r="AM49" i="40" s="1"/>
  <c r="AN137" i="40"/>
  <c r="AE30" i="40"/>
  <c r="AM30" i="40" s="1"/>
  <c r="AE19" i="40"/>
  <c r="AM19" i="40" s="1"/>
  <c r="AE16" i="40"/>
  <c r="AM16" i="40" s="1"/>
  <c r="AN109" i="40"/>
  <c r="AE96" i="40"/>
  <c r="AM96" i="40" s="1"/>
  <c r="AS133" i="40"/>
  <c r="AE89" i="40"/>
  <c r="AM89" i="40" s="1"/>
  <c r="AO130" i="40"/>
  <c r="AH20" i="47" s="1"/>
  <c r="AE64" i="40"/>
  <c r="AM64" i="40" s="1"/>
  <c r="AE63" i="40"/>
  <c r="AM63" i="40" s="1"/>
  <c r="AE59" i="40"/>
  <c r="AM59" i="40" s="1"/>
  <c r="AE55" i="40"/>
  <c r="AM55" i="40" s="1"/>
  <c r="AE54" i="40"/>
  <c r="AM54" i="40" s="1"/>
  <c r="AE41" i="40"/>
  <c r="AM41" i="40" s="1"/>
  <c r="AE40" i="40"/>
  <c r="AM40" i="40" s="1"/>
  <c r="AE37" i="40"/>
  <c r="AM37" i="40" s="1"/>
  <c r="V130" i="40"/>
  <c r="AE118" i="40"/>
  <c r="AM118" i="40" s="1"/>
  <c r="AC98" i="40"/>
  <c r="AE112" i="40"/>
  <c r="AM112" i="40" s="1"/>
  <c r="AE92" i="40"/>
  <c r="AM92" i="40" s="1"/>
  <c r="AO133" i="40"/>
  <c r="AE113" i="40"/>
  <c r="AM113" i="40" s="1"/>
  <c r="AE43" i="40"/>
  <c r="AM43" i="40" s="1"/>
  <c r="AE42" i="40"/>
  <c r="AM42" i="40" s="1"/>
  <c r="AE36" i="40"/>
  <c r="AM36" i="40" s="1"/>
  <c r="AE35" i="40"/>
  <c r="AM35" i="40" s="1"/>
  <c r="AE31" i="40"/>
  <c r="AM31" i="40" s="1"/>
  <c r="AE25" i="40"/>
  <c r="AM25" i="40" s="1"/>
  <c r="AE24" i="40"/>
  <c r="AM24" i="40" s="1"/>
  <c r="AN98" i="40"/>
  <c r="AE13" i="40"/>
  <c r="AM13" i="40" s="1"/>
  <c r="AE128" i="40"/>
  <c r="AM128" i="40" s="1"/>
  <c r="AE106" i="40"/>
  <c r="AM106" i="40" s="1"/>
  <c r="AN104" i="40"/>
  <c r="AA98" i="40"/>
  <c r="AE103" i="40"/>
  <c r="AM103" i="40" s="1"/>
  <c r="AQ98" i="40"/>
  <c r="AS130" i="40"/>
  <c r="AL20" i="47" s="1"/>
  <c r="AB79" i="39"/>
  <c r="AP75" i="39"/>
  <c r="AP79" i="39" s="1"/>
  <c r="AE75" i="39"/>
  <c r="AA79" i="39"/>
  <c r="AQ75" i="39"/>
  <c r="AQ79" i="39" s="1"/>
  <c r="AC79" i="39"/>
  <c r="AQ65" i="39"/>
  <c r="AQ69" i="39" s="1"/>
  <c r="AC69" i="39"/>
  <c r="AP65" i="39"/>
  <c r="AP69" i="39" s="1"/>
  <c r="AB69" i="39"/>
  <c r="AA69" i="39"/>
  <c r="AE65" i="39"/>
  <c r="AE60" i="39"/>
  <c r="AA64" i="39"/>
  <c r="AP60" i="39"/>
  <c r="AP64" i="39" s="1"/>
  <c r="AB64" i="39"/>
  <c r="AQ60" i="39"/>
  <c r="AQ64" i="39" s="1"/>
  <c r="AC64" i="39"/>
  <c r="AE55" i="39"/>
  <c r="AA59" i="39"/>
  <c r="AP55" i="39"/>
  <c r="AP59" i="39" s="1"/>
  <c r="AB59" i="39"/>
  <c r="AQ55" i="39"/>
  <c r="AQ59" i="39" s="1"/>
  <c r="AC59" i="39"/>
  <c r="AE50" i="39"/>
  <c r="AA54" i="39"/>
  <c r="AP50" i="39"/>
  <c r="AP54" i="39" s="1"/>
  <c r="AB54" i="39"/>
  <c r="AQ50" i="39"/>
  <c r="AQ54" i="39" s="1"/>
  <c r="AC54" i="39"/>
  <c r="AE48" i="39"/>
  <c r="AA49" i="39"/>
  <c r="AP48" i="39"/>
  <c r="AP49" i="39" s="1"/>
  <c r="AB49" i="39"/>
  <c r="AQ48" i="39"/>
  <c r="AQ49" i="39" s="1"/>
  <c r="AC49" i="39"/>
  <c r="AE43" i="39"/>
  <c r="AA47" i="39"/>
  <c r="AP43" i="39"/>
  <c r="AP47" i="39" s="1"/>
  <c r="AB47" i="39"/>
  <c r="AQ43" i="39"/>
  <c r="AQ47" i="39" s="1"/>
  <c r="AC47" i="39"/>
  <c r="AE40" i="39"/>
  <c r="AA42" i="39"/>
  <c r="AP40" i="39"/>
  <c r="AP42" i="39" s="1"/>
  <c r="AB42" i="39"/>
  <c r="AQ40" i="39"/>
  <c r="AQ42" i="39" s="1"/>
  <c r="AC42" i="39"/>
  <c r="AE38" i="39"/>
  <c r="AA39" i="39"/>
  <c r="AP38" i="39"/>
  <c r="AP39" i="39" s="1"/>
  <c r="AB39" i="39"/>
  <c r="AQ38" i="39"/>
  <c r="AQ39" i="39" s="1"/>
  <c r="AC39" i="39"/>
  <c r="AE36" i="39"/>
  <c r="AA37" i="39"/>
  <c r="AA109" i="39"/>
  <c r="AP36" i="39"/>
  <c r="AB37" i="39"/>
  <c r="AB109" i="39"/>
  <c r="AQ36" i="39"/>
  <c r="AC37" i="39"/>
  <c r="AC109" i="39"/>
  <c r="AN37" i="39"/>
  <c r="AN109" i="39"/>
  <c r="AE31" i="39"/>
  <c r="AA35" i="39"/>
  <c r="AA103" i="39"/>
  <c r="AP31" i="39"/>
  <c r="AB35" i="39"/>
  <c r="AB103" i="39"/>
  <c r="AQ31" i="39"/>
  <c r="AC35" i="39"/>
  <c r="AC103" i="39"/>
  <c r="AN35" i="39"/>
  <c r="AN103" i="39"/>
  <c r="AE26" i="39"/>
  <c r="AA30" i="39"/>
  <c r="AP26" i="39"/>
  <c r="AP30" i="39" s="1"/>
  <c r="AB30" i="39"/>
  <c r="AQ26" i="39"/>
  <c r="AQ30" i="39" s="1"/>
  <c r="AC30" i="39"/>
  <c r="AE22" i="39"/>
  <c r="AA25" i="39"/>
  <c r="AA104" i="39"/>
  <c r="AP22" i="39"/>
  <c r="AB25" i="39"/>
  <c r="AB104" i="39"/>
  <c r="AQ22" i="39"/>
  <c r="AC25" i="39"/>
  <c r="AC104" i="39"/>
  <c r="AN25" i="39"/>
  <c r="AN104" i="39"/>
  <c r="AE20" i="39"/>
  <c r="AA108" i="39"/>
  <c r="AP20" i="39"/>
  <c r="AP108" i="39" s="1"/>
  <c r="AB108" i="39"/>
  <c r="AQ20" i="39"/>
  <c r="AQ108" i="39" s="1"/>
  <c r="AC108" i="39"/>
  <c r="AE18" i="39"/>
  <c r="AA21" i="39"/>
  <c r="AA102" i="39"/>
  <c r="AP18" i="39"/>
  <c r="AB21" i="39"/>
  <c r="AB102" i="39"/>
  <c r="AQ18" i="39"/>
  <c r="AC21" i="39"/>
  <c r="AC102" i="39"/>
  <c r="AN21" i="39"/>
  <c r="AN102" i="39"/>
  <c r="AE14" i="39"/>
  <c r="AA17" i="39"/>
  <c r="AA101" i="39"/>
  <c r="AP14" i="39"/>
  <c r="AB17" i="39"/>
  <c r="AB101" i="39"/>
  <c r="AQ14" i="39"/>
  <c r="AC17" i="39"/>
  <c r="AC101" i="39"/>
  <c r="AN17" i="39"/>
  <c r="AN101" i="39"/>
  <c r="AE12" i="39"/>
  <c r="AA13" i="39"/>
  <c r="AA110" i="39"/>
  <c r="AP12" i="39"/>
  <c r="AB13" i="39"/>
  <c r="AB110" i="39"/>
  <c r="AQ12" i="39"/>
  <c r="AC13" i="39"/>
  <c r="AC110" i="39"/>
  <c r="AN13" i="39"/>
  <c r="AN110" i="39"/>
  <c r="AQ93" i="39"/>
  <c r="AQ96" i="39" s="1"/>
  <c r="AC96" i="39"/>
  <c r="AB96" i="39"/>
  <c r="AP93" i="39"/>
  <c r="AP96" i="39" s="1"/>
  <c r="AA96" i="39"/>
  <c r="AE93" i="39"/>
  <c r="AC74" i="39"/>
  <c r="AQ70" i="39"/>
  <c r="AQ74" i="39" s="1"/>
  <c r="AP70" i="39"/>
  <c r="AP74" i="39" s="1"/>
  <c r="AB74" i="39"/>
  <c r="AE70" i="39"/>
  <c r="AA74" i="39"/>
  <c r="AP80" i="39"/>
  <c r="AP84" i="39" s="1"/>
  <c r="AB84" i="39"/>
  <c r="AQ80" i="39"/>
  <c r="AQ84" i="39" s="1"/>
  <c r="AC84" i="39"/>
  <c r="AA84" i="39"/>
  <c r="AE80" i="39"/>
  <c r="AQ90" i="39"/>
  <c r="AQ92" i="39" s="1"/>
  <c r="AC92" i="39"/>
  <c r="AE90" i="39"/>
  <c r="AA92" i="39"/>
  <c r="AP90" i="39"/>
  <c r="AP92" i="39" s="1"/>
  <c r="AB92" i="39"/>
  <c r="AB89" i="39"/>
  <c r="AP85" i="39"/>
  <c r="AP89" i="39" s="1"/>
  <c r="AC89" i="39"/>
  <c r="AQ85" i="39"/>
  <c r="AQ89" i="39" s="1"/>
  <c r="AE85" i="39"/>
  <c r="AA89" i="39"/>
  <c r="V98" i="39"/>
  <c r="W98" i="39"/>
  <c r="AE44" i="39"/>
  <c r="AM44" i="39" s="1"/>
  <c r="AE41" i="39"/>
  <c r="AM41" i="39" s="1"/>
  <c r="AE24" i="39"/>
  <c r="AM24" i="39" s="1"/>
  <c r="AE23" i="39"/>
  <c r="AM23" i="39" s="1"/>
  <c r="AE19" i="39"/>
  <c r="AM19" i="39" s="1"/>
  <c r="AS100" i="39"/>
  <c r="AE81" i="39"/>
  <c r="AM81" i="39" s="1"/>
  <c r="AE88" i="39"/>
  <c r="AM88" i="39" s="1"/>
  <c r="AE86" i="39"/>
  <c r="AM86" i="39" s="1"/>
  <c r="AE78" i="39"/>
  <c r="AM78" i="39" s="1"/>
  <c r="AN79" i="39"/>
  <c r="AE72" i="39"/>
  <c r="AM72" i="39" s="1"/>
  <c r="AE67" i="39"/>
  <c r="AM67" i="39" s="1"/>
  <c r="AN69" i="39"/>
  <c r="AE63" i="39"/>
  <c r="AM63" i="39" s="1"/>
  <c r="AE62" i="39"/>
  <c r="AM62" i="39" s="1"/>
  <c r="AE61" i="39"/>
  <c r="AM61" i="39" s="1"/>
  <c r="AE58" i="39"/>
  <c r="AM58" i="39" s="1"/>
  <c r="AE56" i="39"/>
  <c r="AM56" i="39" s="1"/>
  <c r="AE53" i="39"/>
  <c r="AM53" i="39" s="1"/>
  <c r="AE52" i="39"/>
  <c r="AM52" i="39" s="1"/>
  <c r="AE51" i="39"/>
  <c r="AM51" i="39" s="1"/>
  <c r="AE46" i="39"/>
  <c r="AM46" i="39" s="1"/>
  <c r="AE45" i="39"/>
  <c r="AM45" i="39" s="1"/>
  <c r="AE34" i="39"/>
  <c r="AM34" i="39" s="1"/>
  <c r="AE33" i="39"/>
  <c r="AM33" i="39" s="1"/>
  <c r="AE32" i="39"/>
  <c r="AM32" i="39" s="1"/>
  <c r="AE29" i="39"/>
  <c r="AM29" i="39" s="1"/>
  <c r="AE28" i="39"/>
  <c r="AM28" i="39" s="1"/>
  <c r="AE27" i="39"/>
  <c r="AM27" i="39" s="1"/>
  <c r="AN108" i="39"/>
  <c r="AE16" i="39"/>
  <c r="AM16" i="39" s="1"/>
  <c r="AE15" i="39"/>
  <c r="AM15" i="39" s="1"/>
  <c r="AO100" i="39"/>
  <c r="AE95" i="39"/>
  <c r="AM95" i="39" s="1"/>
  <c r="V97" i="39"/>
  <c r="AE94" i="39"/>
  <c r="AM94" i="39" s="1"/>
  <c r="AE91" i="39"/>
  <c r="AM91" i="39" s="1"/>
  <c r="AE77" i="39"/>
  <c r="AM77" i="39" s="1"/>
  <c r="AL97" i="39"/>
  <c r="AE19" i="47" s="1"/>
  <c r="AE83" i="39"/>
  <c r="AM83" i="39" s="1"/>
  <c r="V100" i="39"/>
  <c r="AA99" i="39" s="1"/>
  <c r="AN96" i="39"/>
  <c r="AN74" i="39"/>
  <c r="AN84" i="39"/>
  <c r="AS97" i="39"/>
  <c r="AL19" i="47" s="1"/>
  <c r="AO97" i="39"/>
  <c r="AH19" i="47" s="1"/>
  <c r="AP213" i="32"/>
  <c r="AP217" i="32" s="1"/>
  <c r="AB217" i="32"/>
  <c r="AC217" i="32"/>
  <c r="AQ213" i="32"/>
  <c r="AQ217" i="32" s="1"/>
  <c r="AE213" i="32"/>
  <c r="AA217" i="32"/>
  <c r="AP190" i="32"/>
  <c r="AP192" i="32" s="1"/>
  <c r="AB192" i="32"/>
  <c r="AQ190" i="32"/>
  <c r="AQ192" i="32" s="1"/>
  <c r="AC192" i="32"/>
  <c r="AE190" i="32"/>
  <c r="AA192" i="32"/>
  <c r="AE182" i="32"/>
  <c r="AA184" i="32"/>
  <c r="AP182" i="32"/>
  <c r="AP184" i="32" s="1"/>
  <c r="AB184" i="32"/>
  <c r="AQ182" i="32"/>
  <c r="AQ184" i="32" s="1"/>
  <c r="AC184" i="32"/>
  <c r="AE177" i="32"/>
  <c r="AA181" i="32"/>
  <c r="AP177" i="32"/>
  <c r="AP181" i="32" s="1"/>
  <c r="AB181" i="32"/>
  <c r="AQ177" i="32"/>
  <c r="AQ181" i="32" s="1"/>
  <c r="AC181" i="32"/>
  <c r="AE172" i="32"/>
  <c r="AA176" i="32"/>
  <c r="AP172" i="32"/>
  <c r="AP176" i="32" s="1"/>
  <c r="AB176" i="32"/>
  <c r="AQ172" i="32"/>
  <c r="AQ176" i="32" s="1"/>
  <c r="AC176" i="32"/>
  <c r="AE169" i="32"/>
  <c r="AA171" i="32"/>
  <c r="AP169" i="32"/>
  <c r="AP171" i="32" s="1"/>
  <c r="AB171" i="32"/>
  <c r="AQ169" i="32"/>
  <c r="AQ171" i="32" s="1"/>
  <c r="AC171" i="32"/>
  <c r="AE167" i="32"/>
  <c r="AA168" i="32"/>
  <c r="AP167" i="32"/>
  <c r="AP168" i="32" s="1"/>
  <c r="AB168" i="32"/>
  <c r="AQ167" i="32"/>
  <c r="AQ168" i="32" s="1"/>
  <c r="AC168" i="32"/>
  <c r="AE159" i="32"/>
  <c r="AA166" i="32"/>
  <c r="AP159" i="32"/>
  <c r="AP166" i="32" s="1"/>
  <c r="AB166" i="32"/>
  <c r="AQ159" i="32"/>
  <c r="AQ166" i="32" s="1"/>
  <c r="AC166" i="32"/>
  <c r="AE155" i="32"/>
  <c r="AA158" i="32"/>
  <c r="AP155" i="32"/>
  <c r="AP158" i="32" s="1"/>
  <c r="AB158" i="32"/>
  <c r="AQ155" i="32"/>
  <c r="AQ158" i="32" s="1"/>
  <c r="AC158" i="32"/>
  <c r="AE152" i="32"/>
  <c r="AA154" i="32"/>
  <c r="AP152" i="32"/>
  <c r="AP154" i="32" s="1"/>
  <c r="AB154" i="32"/>
  <c r="AQ152" i="32"/>
  <c r="AQ154" i="32" s="1"/>
  <c r="AC154" i="32"/>
  <c r="AE147" i="32"/>
  <c r="AA151" i="32"/>
  <c r="AP147" i="32"/>
  <c r="AP151" i="32" s="1"/>
  <c r="AB151" i="32"/>
  <c r="AQ147" i="32"/>
  <c r="AQ151" i="32" s="1"/>
  <c r="AC151" i="32"/>
  <c r="AE143" i="32"/>
  <c r="AA146" i="32"/>
  <c r="AP143" i="32"/>
  <c r="AP146" i="32" s="1"/>
  <c r="AB146" i="32"/>
  <c r="AQ143" i="32"/>
  <c r="AQ146" i="32" s="1"/>
  <c r="AC146" i="32"/>
  <c r="AE140" i="32"/>
  <c r="AA142" i="32"/>
  <c r="AP140" i="32"/>
  <c r="AP142" i="32" s="1"/>
  <c r="AB142" i="32"/>
  <c r="AQ140" i="32"/>
  <c r="AQ142" i="32" s="1"/>
  <c r="AC142" i="32"/>
  <c r="AE135" i="32"/>
  <c r="AA139" i="32"/>
  <c r="AP135" i="32"/>
  <c r="AP139" i="32" s="1"/>
  <c r="AB139" i="32"/>
  <c r="AQ135" i="32"/>
  <c r="AQ139" i="32" s="1"/>
  <c r="AC139" i="32"/>
  <c r="AE130" i="32"/>
  <c r="AA134" i="32"/>
  <c r="AP130" i="32"/>
  <c r="AP134" i="32" s="1"/>
  <c r="AB134" i="32"/>
  <c r="AQ130" i="32"/>
  <c r="AQ134" i="32" s="1"/>
  <c r="AC134" i="32"/>
  <c r="AE125" i="32"/>
  <c r="AA129" i="32"/>
  <c r="AP125" i="32"/>
  <c r="AP129" i="32" s="1"/>
  <c r="AB129" i="32"/>
  <c r="AQ125" i="32"/>
  <c r="AQ129" i="32" s="1"/>
  <c r="AC129" i="32"/>
  <c r="AE120" i="32"/>
  <c r="AA124" i="32"/>
  <c r="AP120" i="32"/>
  <c r="AP124" i="32" s="1"/>
  <c r="AB124" i="32"/>
  <c r="AQ120" i="32"/>
  <c r="AQ124" i="32" s="1"/>
  <c r="AC124" i="32"/>
  <c r="AE117" i="32"/>
  <c r="AA119" i="32"/>
  <c r="AP117" i="32"/>
  <c r="AP119" i="32" s="1"/>
  <c r="AB119" i="32"/>
  <c r="AQ117" i="32"/>
  <c r="AQ119" i="32" s="1"/>
  <c r="AC119" i="32"/>
  <c r="AC222" i="32"/>
  <c r="AQ218" i="32"/>
  <c r="AQ222" i="32" s="1"/>
  <c r="AB222" i="32"/>
  <c r="AP218" i="32"/>
  <c r="AP222" i="32" s="1"/>
  <c r="AE218" i="32"/>
  <c r="AA222" i="32"/>
  <c r="AQ185" i="32"/>
  <c r="AQ189" i="32" s="1"/>
  <c r="AC189" i="32"/>
  <c r="AB189" i="32"/>
  <c r="AP185" i="32"/>
  <c r="AP189" i="32" s="1"/>
  <c r="AE185" i="32"/>
  <c r="AA189" i="32"/>
  <c r="AE115" i="32"/>
  <c r="AA116" i="32"/>
  <c r="AP115" i="32"/>
  <c r="AP116" i="32" s="1"/>
  <c r="AB116" i="32"/>
  <c r="AQ115" i="32"/>
  <c r="AQ116" i="32" s="1"/>
  <c r="AC116" i="32"/>
  <c r="AE110" i="32"/>
  <c r="AA114" i="32"/>
  <c r="AP110" i="32"/>
  <c r="AP114" i="32" s="1"/>
  <c r="AB114" i="32"/>
  <c r="AQ110" i="32"/>
  <c r="AQ114" i="32" s="1"/>
  <c r="AC114" i="32"/>
  <c r="AE105" i="32"/>
  <c r="AA109" i="32"/>
  <c r="AP105" i="32"/>
  <c r="AP109" i="32" s="1"/>
  <c r="AB109" i="32"/>
  <c r="AQ105" i="32"/>
  <c r="AQ109" i="32" s="1"/>
  <c r="AC109" i="32"/>
  <c r="AE101" i="32"/>
  <c r="AA104" i="32"/>
  <c r="AP101" i="32"/>
  <c r="AP104" i="32" s="1"/>
  <c r="AB104" i="32"/>
  <c r="AQ101" i="32"/>
  <c r="AQ104" i="32" s="1"/>
  <c r="AC104" i="32"/>
  <c r="AE98" i="32"/>
  <c r="AA100" i="32"/>
  <c r="AP98" i="32"/>
  <c r="AP100" i="32" s="1"/>
  <c r="AB100" i="32"/>
  <c r="AQ98" i="32"/>
  <c r="AQ100" i="32" s="1"/>
  <c r="AC100" i="32"/>
  <c r="AE94" i="32"/>
  <c r="AA232" i="32"/>
  <c r="AP94" i="32"/>
  <c r="AP232" i="32" s="1"/>
  <c r="AB232" i="32"/>
  <c r="AQ94" i="32"/>
  <c r="AQ232" i="32" s="1"/>
  <c r="AC232" i="32"/>
  <c r="AE93" i="32"/>
  <c r="AA97" i="32"/>
  <c r="AP93" i="32"/>
  <c r="AP97" i="32" s="1"/>
  <c r="AB97" i="32"/>
  <c r="AQ93" i="32"/>
  <c r="AQ97" i="32" s="1"/>
  <c r="AC97" i="32"/>
  <c r="AE90" i="32"/>
  <c r="AA92" i="32"/>
  <c r="AP90" i="32"/>
  <c r="AP92" i="32" s="1"/>
  <c r="AB92" i="32"/>
  <c r="AQ90" i="32"/>
  <c r="AQ92" i="32" s="1"/>
  <c r="AC92" i="32"/>
  <c r="AE88" i="32"/>
  <c r="AA89" i="32"/>
  <c r="AA237" i="32"/>
  <c r="AP88" i="32"/>
  <c r="AB89" i="32"/>
  <c r="AB237" i="32"/>
  <c r="AQ88" i="32"/>
  <c r="AC89" i="32"/>
  <c r="AC237" i="32"/>
  <c r="AN89" i="32"/>
  <c r="AN237" i="32"/>
  <c r="AE83" i="32"/>
  <c r="AA234" i="32"/>
  <c r="AP83" i="32"/>
  <c r="AP234" i="32" s="1"/>
  <c r="AB234" i="32"/>
  <c r="AQ83" i="32"/>
  <c r="AQ234" i="32" s="1"/>
  <c r="AC234" i="32"/>
  <c r="AE80" i="32"/>
  <c r="AA231" i="32"/>
  <c r="AP80" i="32"/>
  <c r="AP231" i="32" s="1"/>
  <c r="AB231" i="32"/>
  <c r="AQ80" i="32"/>
  <c r="AQ231" i="32" s="1"/>
  <c r="AC231" i="32"/>
  <c r="AE78" i="32"/>
  <c r="AA87" i="32"/>
  <c r="AP78" i="32"/>
  <c r="AP87" i="32" s="1"/>
  <c r="AB87" i="32"/>
  <c r="AQ78" i="32"/>
  <c r="AQ87" i="32" s="1"/>
  <c r="AC87" i="32"/>
  <c r="AE73" i="32"/>
  <c r="AA77" i="32"/>
  <c r="AP73" i="32"/>
  <c r="AP77" i="32" s="1"/>
  <c r="AB77" i="32"/>
  <c r="AQ73" i="32"/>
  <c r="AQ77" i="32" s="1"/>
  <c r="AC77" i="32"/>
  <c r="AE69" i="32"/>
  <c r="AA72" i="32"/>
  <c r="AP69" i="32"/>
  <c r="AP72" i="32" s="1"/>
  <c r="AB72" i="32"/>
  <c r="AQ69" i="32"/>
  <c r="AQ72" i="32" s="1"/>
  <c r="AC72" i="32"/>
  <c r="AE64" i="32"/>
  <c r="AA68" i="32"/>
  <c r="AP64" i="32"/>
  <c r="AP68" i="32" s="1"/>
  <c r="AB68" i="32"/>
  <c r="AQ64" i="32"/>
  <c r="AQ68" i="32" s="1"/>
  <c r="AC68" i="32"/>
  <c r="AE59" i="32"/>
  <c r="AA63" i="32"/>
  <c r="AP59" i="32"/>
  <c r="AP63" i="32" s="1"/>
  <c r="AB63" i="32"/>
  <c r="AQ59" i="32"/>
  <c r="AQ63" i="32" s="1"/>
  <c r="AC63" i="32"/>
  <c r="AE54" i="32"/>
  <c r="AA58" i="32"/>
  <c r="AP54" i="32"/>
  <c r="AP58" i="32" s="1"/>
  <c r="AB58" i="32"/>
  <c r="AQ54" i="32"/>
  <c r="AQ58" i="32" s="1"/>
  <c r="AC58" i="32"/>
  <c r="AP203" i="32"/>
  <c r="AP207" i="32" s="1"/>
  <c r="AB207" i="32"/>
  <c r="AQ203" i="32"/>
  <c r="AQ207" i="32" s="1"/>
  <c r="AC207" i="32"/>
  <c r="AA207" i="32"/>
  <c r="AE203" i="32"/>
  <c r="AE48" i="32"/>
  <c r="AA53" i="32"/>
  <c r="AP48" i="32"/>
  <c r="AP53" i="32" s="1"/>
  <c r="AB53" i="32"/>
  <c r="AQ48" i="32"/>
  <c r="AQ53" i="32" s="1"/>
  <c r="AC53" i="32"/>
  <c r="AS47" i="32"/>
  <c r="AS225" i="32" s="1"/>
  <c r="AL18" i="47" s="1"/>
  <c r="AS230" i="32"/>
  <c r="AS228" i="32" s="1"/>
  <c r="AE42" i="32"/>
  <c r="AA47" i="32"/>
  <c r="AP42" i="32"/>
  <c r="AP47" i="32" s="1"/>
  <c r="AB47" i="32"/>
  <c r="AQ42" i="32"/>
  <c r="AQ47" i="32" s="1"/>
  <c r="AC47" i="32"/>
  <c r="AE40" i="32"/>
  <c r="AA236" i="32"/>
  <c r="AP40" i="32"/>
  <c r="AP236" i="32" s="1"/>
  <c r="AB236" i="32"/>
  <c r="AQ40" i="32"/>
  <c r="AQ236" i="32" s="1"/>
  <c r="AC236" i="32"/>
  <c r="AE38" i="32"/>
  <c r="AA230" i="32"/>
  <c r="AP38" i="32"/>
  <c r="AP230" i="32" s="1"/>
  <c r="AB230" i="32"/>
  <c r="AQ38" i="32"/>
  <c r="AQ230" i="32" s="1"/>
  <c r="AC230" i="32"/>
  <c r="AE37" i="32"/>
  <c r="AA41" i="32"/>
  <c r="AP37" i="32"/>
  <c r="AP41" i="32" s="1"/>
  <c r="AB41" i="32"/>
  <c r="AQ37" i="32"/>
  <c r="AQ41" i="32" s="1"/>
  <c r="AC41" i="32"/>
  <c r="AE34" i="32"/>
  <c r="AA36" i="32"/>
  <c r="AP34" i="32"/>
  <c r="AP36" i="32" s="1"/>
  <c r="AB36" i="32"/>
  <c r="AQ34" i="32"/>
  <c r="AQ36" i="32" s="1"/>
  <c r="AC36" i="32"/>
  <c r="AE31" i="32"/>
  <c r="AA33" i="32"/>
  <c r="AP31" i="32"/>
  <c r="AP33" i="32" s="1"/>
  <c r="AB33" i="32"/>
  <c r="AQ31" i="32"/>
  <c r="AQ33" i="32" s="1"/>
  <c r="AC33" i="32"/>
  <c r="AE28" i="32"/>
  <c r="AA30" i="32"/>
  <c r="AP28" i="32"/>
  <c r="AP30" i="32" s="1"/>
  <c r="AB30" i="32"/>
  <c r="AQ28" i="32"/>
  <c r="AQ30" i="32" s="1"/>
  <c r="AC30" i="32"/>
  <c r="AE25" i="32"/>
  <c r="AA27" i="32"/>
  <c r="AP25" i="32"/>
  <c r="AP27" i="32" s="1"/>
  <c r="AB27" i="32"/>
  <c r="AQ25" i="32"/>
  <c r="AQ27" i="32" s="1"/>
  <c r="AC27" i="32"/>
  <c r="AE21" i="32"/>
  <c r="AA24" i="32"/>
  <c r="AP21" i="32"/>
  <c r="AP24" i="32" s="1"/>
  <c r="AB24" i="32"/>
  <c r="AQ21" i="32"/>
  <c r="AQ24" i="32" s="1"/>
  <c r="AC24" i="32"/>
  <c r="AE17" i="32"/>
  <c r="AA20" i="32"/>
  <c r="AP17" i="32"/>
  <c r="AP20" i="32" s="1"/>
  <c r="AB20" i="32"/>
  <c r="AQ17" i="32"/>
  <c r="AQ20" i="32" s="1"/>
  <c r="AC20" i="32"/>
  <c r="AE14" i="32"/>
  <c r="AA16" i="32"/>
  <c r="AA229" i="32"/>
  <c r="AP14" i="32"/>
  <c r="AB16" i="32"/>
  <c r="AB229" i="32"/>
  <c r="AQ14" i="32"/>
  <c r="AC16" i="32"/>
  <c r="AC229" i="32"/>
  <c r="AN16" i="32"/>
  <c r="AN229" i="32"/>
  <c r="AE12" i="32"/>
  <c r="AA13" i="32"/>
  <c r="AA238" i="32"/>
  <c r="AP12" i="32"/>
  <c r="AB13" i="32"/>
  <c r="AB238" i="32"/>
  <c r="AQ12" i="32"/>
  <c r="AC13" i="32"/>
  <c r="AC238" i="32"/>
  <c r="AN13" i="32"/>
  <c r="AN238" i="32"/>
  <c r="AP208" i="32"/>
  <c r="AP212" i="32" s="1"/>
  <c r="AB212" i="32"/>
  <c r="AQ208" i="32"/>
  <c r="AQ212" i="32" s="1"/>
  <c r="AC212" i="32"/>
  <c r="AE208" i="32"/>
  <c r="AA212" i="32"/>
  <c r="AA202" i="32"/>
  <c r="AE198" i="32"/>
  <c r="AQ198" i="32"/>
  <c r="AQ202" i="32" s="1"/>
  <c r="AC202" i="32"/>
  <c r="AP198" i="32"/>
  <c r="AP202" i="32" s="1"/>
  <c r="AB202" i="32"/>
  <c r="AC224" i="32"/>
  <c r="AQ223" i="32"/>
  <c r="AQ224" i="32" s="1"/>
  <c r="AP223" i="32"/>
  <c r="AP224" i="32" s="1"/>
  <c r="AB224" i="32"/>
  <c r="AE223" i="32"/>
  <c r="AA224" i="32"/>
  <c r="AB197" i="32"/>
  <c r="AP193" i="32"/>
  <c r="AP197" i="32" s="1"/>
  <c r="AC197" i="32"/>
  <c r="AQ193" i="32"/>
  <c r="AQ197" i="32" s="1"/>
  <c r="AE193" i="32"/>
  <c r="AA197" i="32"/>
  <c r="AN217" i="32"/>
  <c r="AN192" i="32"/>
  <c r="AE183" i="32"/>
  <c r="AM183" i="32" s="1"/>
  <c r="AE180" i="32"/>
  <c r="AM180" i="32" s="1"/>
  <c r="AE179" i="32"/>
  <c r="AM179" i="32" s="1"/>
  <c r="AE178" i="32"/>
  <c r="AM178" i="32" s="1"/>
  <c r="AE175" i="32"/>
  <c r="AM175" i="32" s="1"/>
  <c r="AE174" i="32"/>
  <c r="AM174" i="32" s="1"/>
  <c r="AE173" i="32"/>
  <c r="AM173" i="32" s="1"/>
  <c r="AE170" i="32"/>
  <c r="AM170" i="32" s="1"/>
  <c r="AE165" i="32"/>
  <c r="AM165" i="32" s="1"/>
  <c r="AE163" i="32"/>
  <c r="AM163" i="32" s="1"/>
  <c r="AE162" i="32"/>
  <c r="AM162" i="32" s="1"/>
  <c r="AE161" i="32"/>
  <c r="AM161" i="32" s="1"/>
  <c r="AE160" i="32"/>
  <c r="AM160" i="32" s="1"/>
  <c r="AE156" i="32"/>
  <c r="AM156" i="32" s="1"/>
  <c r="AE149" i="32"/>
  <c r="AM149" i="32" s="1"/>
  <c r="AE148" i="32"/>
  <c r="AM148" i="32" s="1"/>
  <c r="AE144" i="32"/>
  <c r="AM144" i="32" s="1"/>
  <c r="AE138" i="32"/>
  <c r="AM138" i="32" s="1"/>
  <c r="AE136" i="32"/>
  <c r="AM136" i="32" s="1"/>
  <c r="AE132" i="32"/>
  <c r="AM132" i="32" s="1"/>
  <c r="AE126" i="32"/>
  <c r="AM126" i="32" s="1"/>
  <c r="AE122" i="32"/>
  <c r="AM122" i="32" s="1"/>
  <c r="AE195" i="32"/>
  <c r="AM195" i="32" s="1"/>
  <c r="AE113" i="32"/>
  <c r="AM113" i="32" s="1"/>
  <c r="AE103" i="32"/>
  <c r="AM103" i="32" s="1"/>
  <c r="AE102" i="32"/>
  <c r="AM102" i="32" s="1"/>
  <c r="AE91" i="32"/>
  <c r="AM91" i="32" s="1"/>
  <c r="AE86" i="32"/>
  <c r="AM86" i="32" s="1"/>
  <c r="AE85" i="32"/>
  <c r="AM85" i="32" s="1"/>
  <c r="AE84" i="32"/>
  <c r="AM84" i="32" s="1"/>
  <c r="AE82" i="32"/>
  <c r="AM82" i="32" s="1"/>
  <c r="AE81" i="32"/>
  <c r="AM81" i="32" s="1"/>
  <c r="AE62" i="32"/>
  <c r="AM62" i="32" s="1"/>
  <c r="AE209" i="32"/>
  <c r="AM209" i="32" s="1"/>
  <c r="AE46" i="32"/>
  <c r="AM46" i="32" s="1"/>
  <c r="AE35" i="32"/>
  <c r="AM35" i="32" s="1"/>
  <c r="AE32" i="32"/>
  <c r="AM32" i="32" s="1"/>
  <c r="AE26" i="32"/>
  <c r="AM26" i="32" s="1"/>
  <c r="AE204" i="32"/>
  <c r="AM204" i="32" s="1"/>
  <c r="AN197" i="32"/>
  <c r="AE186" i="32"/>
  <c r="AM186" i="32" s="1"/>
  <c r="AL225" i="32"/>
  <c r="AE18" i="47" s="1"/>
  <c r="AE74" i="32"/>
  <c r="AM74" i="32" s="1"/>
  <c r="AE67" i="32"/>
  <c r="AM67" i="32" s="1"/>
  <c r="AE66" i="32"/>
  <c r="AM66" i="32" s="1"/>
  <c r="AE49" i="32"/>
  <c r="AM49" i="32" s="1"/>
  <c r="AN230" i="32"/>
  <c r="AE15" i="32"/>
  <c r="AM15" i="32" s="1"/>
  <c r="V228" i="32"/>
  <c r="AA227" i="32" s="1"/>
  <c r="AE210" i="32"/>
  <c r="AM210" i="32" s="1"/>
  <c r="AE221" i="32"/>
  <c r="AM221" i="32" s="1"/>
  <c r="AE164" i="32"/>
  <c r="AM164" i="32" s="1"/>
  <c r="AE157" i="32"/>
  <c r="AM157" i="32" s="1"/>
  <c r="AE153" i="32"/>
  <c r="AM153" i="32" s="1"/>
  <c r="AE150" i="32"/>
  <c r="AM150" i="32" s="1"/>
  <c r="AE141" i="32"/>
  <c r="AM141" i="32" s="1"/>
  <c r="AE137" i="32"/>
  <c r="AM137" i="32" s="1"/>
  <c r="AE131" i="32"/>
  <c r="AM131" i="32" s="1"/>
  <c r="AE127" i="32"/>
  <c r="AM127" i="32" s="1"/>
  <c r="AE123" i="32"/>
  <c r="AM123" i="32" s="1"/>
  <c r="AE187" i="32"/>
  <c r="AM187" i="32" s="1"/>
  <c r="AE112" i="32"/>
  <c r="AM112" i="32" s="1"/>
  <c r="AE111" i="32"/>
  <c r="AM111" i="32" s="1"/>
  <c r="AE99" i="32"/>
  <c r="AM99" i="32" s="1"/>
  <c r="AN92" i="32"/>
  <c r="AE75" i="32"/>
  <c r="AM75" i="32" s="1"/>
  <c r="AE55" i="32"/>
  <c r="AM55" i="32" s="1"/>
  <c r="AE52" i="32"/>
  <c r="AM52" i="32" s="1"/>
  <c r="AE199" i="32"/>
  <c r="AM199" i="32" s="1"/>
  <c r="AE39" i="32"/>
  <c r="AM39" i="32" s="1"/>
  <c r="AE23" i="32"/>
  <c r="AM23" i="32" s="1"/>
  <c r="AE18" i="32"/>
  <c r="AM18" i="32" s="1"/>
  <c r="AE201" i="32"/>
  <c r="AM201" i="32" s="1"/>
  <c r="AE215" i="32"/>
  <c r="AM215" i="32" s="1"/>
  <c r="AN222" i="32"/>
  <c r="AE106" i="32"/>
  <c r="AM106" i="32" s="1"/>
  <c r="AE96" i="32"/>
  <c r="AM96" i="32" s="1"/>
  <c r="AE65" i="32"/>
  <c r="AM65" i="32" s="1"/>
  <c r="AE60" i="32"/>
  <c r="AM60" i="32" s="1"/>
  <c r="AE56" i="32"/>
  <c r="AM56" i="32" s="1"/>
  <c r="AE44" i="32"/>
  <c r="AM44" i="32" s="1"/>
  <c r="AE43" i="32"/>
  <c r="AM43" i="32" s="1"/>
  <c r="AN236" i="32"/>
  <c r="AE19" i="32"/>
  <c r="AM19" i="32" s="1"/>
  <c r="AO228" i="32"/>
  <c r="AE219" i="32"/>
  <c r="AM219" i="32" s="1"/>
  <c r="AE216" i="32"/>
  <c r="AM216" i="32" s="1"/>
  <c r="AE133" i="32"/>
  <c r="AM133" i="32" s="1"/>
  <c r="AE128" i="32"/>
  <c r="AM128" i="32" s="1"/>
  <c r="AE121" i="32"/>
  <c r="AM121" i="32" s="1"/>
  <c r="AE118" i="32"/>
  <c r="AM118" i="32" s="1"/>
  <c r="AE220" i="32"/>
  <c r="AM220" i="32" s="1"/>
  <c r="AN189" i="32"/>
  <c r="AE95" i="32"/>
  <c r="AM95" i="32" s="1"/>
  <c r="AN232" i="32"/>
  <c r="AE76" i="32"/>
  <c r="AM76" i="32" s="1"/>
  <c r="AE71" i="32"/>
  <c r="AM71" i="32" s="1"/>
  <c r="AE70" i="32"/>
  <c r="AM70" i="32" s="1"/>
  <c r="AE61" i="32"/>
  <c r="AM61" i="32" s="1"/>
  <c r="AE57" i="32"/>
  <c r="AM57" i="32" s="1"/>
  <c r="AE51" i="32"/>
  <c r="AM51" i="32" s="1"/>
  <c r="AE50" i="32"/>
  <c r="AM50" i="32" s="1"/>
  <c r="AE45" i="32"/>
  <c r="AM45" i="32" s="1"/>
  <c r="AE22" i="32"/>
  <c r="AM22" i="32" s="1"/>
  <c r="V225" i="32"/>
  <c r="AE47" i="31"/>
  <c r="AA51" i="31"/>
  <c r="AP47" i="31"/>
  <c r="AP51" i="31" s="1"/>
  <c r="AB51" i="31"/>
  <c r="AQ47" i="31"/>
  <c r="AQ51" i="31" s="1"/>
  <c r="AC51" i="31"/>
  <c r="AE43" i="31"/>
  <c r="AA46" i="31"/>
  <c r="AP43" i="31"/>
  <c r="AP46" i="31" s="1"/>
  <c r="AB46" i="31"/>
  <c r="AQ43" i="31"/>
  <c r="AQ46" i="31" s="1"/>
  <c r="AC46" i="31"/>
  <c r="AE40" i="31"/>
  <c r="AA42" i="31"/>
  <c r="AP40" i="31"/>
  <c r="AP42" i="31" s="1"/>
  <c r="AB42" i="31"/>
  <c r="AQ40" i="31"/>
  <c r="AQ42" i="31" s="1"/>
  <c r="AC42" i="31"/>
  <c r="AE36" i="31"/>
  <c r="AA65" i="31"/>
  <c r="AP36" i="31"/>
  <c r="AP65" i="31" s="1"/>
  <c r="AB65" i="31"/>
  <c r="AQ36" i="31"/>
  <c r="AQ65" i="31" s="1"/>
  <c r="AC65" i="31"/>
  <c r="AE35" i="31"/>
  <c r="AA39" i="31"/>
  <c r="AP35" i="31"/>
  <c r="AP39" i="31" s="1"/>
  <c r="AB39" i="31"/>
  <c r="AQ35" i="31"/>
  <c r="AQ39" i="31" s="1"/>
  <c r="AC39" i="31"/>
  <c r="AE33" i="31"/>
  <c r="AA34" i="31"/>
  <c r="AA70" i="31"/>
  <c r="AP33" i="31"/>
  <c r="AB34" i="31"/>
  <c r="AB70" i="31"/>
  <c r="AQ33" i="31"/>
  <c r="AC34" i="31"/>
  <c r="AC70" i="31"/>
  <c r="AN34" i="31"/>
  <c r="AN70" i="31"/>
  <c r="AE28" i="31"/>
  <c r="AA32" i="31"/>
  <c r="AP28" i="31"/>
  <c r="AP32" i="31" s="1"/>
  <c r="AB32" i="31"/>
  <c r="AQ28" i="31"/>
  <c r="AQ32" i="31" s="1"/>
  <c r="AC32" i="31"/>
  <c r="AE26" i="31"/>
  <c r="AA69" i="31"/>
  <c r="AP26" i="31"/>
  <c r="AP69" i="31" s="1"/>
  <c r="AB69" i="31"/>
  <c r="AQ26" i="31"/>
  <c r="AQ69" i="31" s="1"/>
  <c r="AC69" i="31"/>
  <c r="AE23" i="31"/>
  <c r="AA27" i="31"/>
  <c r="AA63" i="31"/>
  <c r="AP23" i="31"/>
  <c r="AB27" i="31"/>
  <c r="AB63" i="31"/>
  <c r="AQ23" i="31"/>
  <c r="AC27" i="31"/>
  <c r="AC63" i="31"/>
  <c r="AN27" i="31"/>
  <c r="AN63" i="31"/>
  <c r="AE21" i="31"/>
  <c r="AA22" i="31"/>
  <c r="AA71" i="31"/>
  <c r="AP21" i="31"/>
  <c r="AB22" i="31"/>
  <c r="AB71" i="31"/>
  <c r="AQ21" i="31"/>
  <c r="AC22" i="31"/>
  <c r="AC71" i="31"/>
  <c r="AN22" i="31"/>
  <c r="AN71" i="31"/>
  <c r="AE18" i="31"/>
  <c r="AA20" i="31"/>
  <c r="AP18" i="31"/>
  <c r="AP20" i="31" s="1"/>
  <c r="AB20" i="31"/>
  <c r="AQ18" i="31"/>
  <c r="AQ20" i="31" s="1"/>
  <c r="AC20" i="31"/>
  <c r="AE15" i="31"/>
  <c r="AA17" i="31"/>
  <c r="AP15" i="31"/>
  <c r="AP17" i="31" s="1"/>
  <c r="AB17" i="31"/>
  <c r="AQ15" i="31"/>
  <c r="AQ17" i="31" s="1"/>
  <c r="AC17" i="31"/>
  <c r="AE12" i="31"/>
  <c r="AA14" i="31"/>
  <c r="AA62" i="31"/>
  <c r="AP12" i="31"/>
  <c r="AB14" i="31"/>
  <c r="AB62" i="31"/>
  <c r="AQ12" i="31"/>
  <c r="AC14" i="31"/>
  <c r="AC62" i="31"/>
  <c r="AN14" i="31"/>
  <c r="AN58" i="31" s="1"/>
  <c r="AG17" i="47" s="1"/>
  <c r="AN62" i="31"/>
  <c r="AP54" i="31"/>
  <c r="AP57" i="31" s="1"/>
  <c r="AB57" i="31"/>
  <c r="AE54" i="31"/>
  <c r="AA57" i="31"/>
  <c r="AC57" i="31"/>
  <c r="AQ54" i="31"/>
  <c r="AQ57" i="31" s="1"/>
  <c r="AP52" i="31"/>
  <c r="AP53" i="31" s="1"/>
  <c r="AB53" i="31"/>
  <c r="AA53" i="31"/>
  <c r="AE52" i="31"/>
  <c r="AC53" i="31"/>
  <c r="AQ52" i="31"/>
  <c r="AQ53" i="31" s="1"/>
  <c r="AE30" i="31"/>
  <c r="AM30" i="31" s="1"/>
  <c r="AE25" i="31"/>
  <c r="AM25" i="31" s="1"/>
  <c r="AE24" i="31"/>
  <c r="AM24" i="31" s="1"/>
  <c r="AS61" i="31"/>
  <c r="AE31" i="31"/>
  <c r="AM31" i="31" s="1"/>
  <c r="AE55" i="31"/>
  <c r="AM55" i="31" s="1"/>
  <c r="V58" i="31"/>
  <c r="AE56" i="31"/>
  <c r="AM56" i="31" s="1"/>
  <c r="AE50" i="31"/>
  <c r="AM50" i="31" s="1"/>
  <c r="AE49" i="31"/>
  <c r="AM49" i="31" s="1"/>
  <c r="AE48" i="31"/>
  <c r="AM48" i="31" s="1"/>
  <c r="AE45" i="31"/>
  <c r="AM45" i="31" s="1"/>
  <c r="AE44" i="31"/>
  <c r="AM44" i="31" s="1"/>
  <c r="AE41" i="31"/>
  <c r="AM41" i="31" s="1"/>
  <c r="AE38" i="31"/>
  <c r="AM38" i="31" s="1"/>
  <c r="AE37" i="31"/>
  <c r="AM37" i="31" s="1"/>
  <c r="AE29" i="31"/>
  <c r="AM29" i="31" s="1"/>
  <c r="AE16" i="31"/>
  <c r="AM16" i="31" s="1"/>
  <c r="AO58" i="31"/>
  <c r="AE19" i="31"/>
  <c r="AM19" i="31" s="1"/>
  <c r="AE13" i="31"/>
  <c r="AM13" i="31" s="1"/>
  <c r="AO61" i="31"/>
  <c r="AE75" i="30"/>
  <c r="AA79" i="30"/>
  <c r="AP75" i="30"/>
  <c r="AP79" i="30" s="1"/>
  <c r="AB79" i="30"/>
  <c r="AQ75" i="30"/>
  <c r="AQ79" i="30" s="1"/>
  <c r="AC79" i="30"/>
  <c r="AE70" i="30"/>
  <c r="AA74" i="30"/>
  <c r="AP70" i="30"/>
  <c r="AP74" i="30" s="1"/>
  <c r="AB74" i="30"/>
  <c r="AQ70" i="30"/>
  <c r="AQ74" i="30" s="1"/>
  <c r="AC74" i="30"/>
  <c r="AE67" i="30"/>
  <c r="AA69" i="30"/>
  <c r="AP67" i="30"/>
  <c r="AP69" i="30" s="1"/>
  <c r="AB69" i="30"/>
  <c r="AQ67" i="30"/>
  <c r="AQ69" i="30" s="1"/>
  <c r="AC69" i="30"/>
  <c r="AE63" i="30"/>
  <c r="AA66" i="30"/>
  <c r="AP63" i="30"/>
  <c r="AP66" i="30" s="1"/>
  <c r="AB66" i="30"/>
  <c r="AQ63" i="30"/>
  <c r="AQ66" i="30" s="1"/>
  <c r="AC66" i="30"/>
  <c r="AE60" i="30"/>
  <c r="AA62" i="30"/>
  <c r="AP60" i="30"/>
  <c r="AP62" i="30" s="1"/>
  <c r="AB62" i="30"/>
  <c r="AQ60" i="30"/>
  <c r="AQ62" i="30" s="1"/>
  <c r="AC62" i="30"/>
  <c r="AE56" i="30"/>
  <c r="AA59" i="30"/>
  <c r="AP56" i="30"/>
  <c r="AP59" i="30" s="1"/>
  <c r="AB59" i="30"/>
  <c r="AQ56" i="30"/>
  <c r="AQ59" i="30" s="1"/>
  <c r="AC59" i="30"/>
  <c r="AE53" i="30"/>
  <c r="AA55" i="30"/>
  <c r="AP53" i="30"/>
  <c r="AP55" i="30" s="1"/>
  <c r="AB55" i="30"/>
  <c r="AQ53" i="30"/>
  <c r="AQ55" i="30" s="1"/>
  <c r="AC55" i="30"/>
  <c r="AE48" i="30"/>
  <c r="AA52" i="30"/>
  <c r="AP48" i="30"/>
  <c r="AP52" i="30" s="1"/>
  <c r="AB52" i="30"/>
  <c r="AQ48" i="30"/>
  <c r="AQ52" i="30" s="1"/>
  <c r="AC52" i="30"/>
  <c r="AE44" i="30"/>
  <c r="AA47" i="30"/>
  <c r="AP44" i="30"/>
  <c r="AP47" i="30" s="1"/>
  <c r="AB47" i="30"/>
  <c r="AQ44" i="30"/>
  <c r="AQ47" i="30" s="1"/>
  <c r="AC47" i="30"/>
  <c r="AE41" i="30"/>
  <c r="AA43" i="30"/>
  <c r="AP41" i="30"/>
  <c r="AP43" i="30" s="1"/>
  <c r="AB43" i="30"/>
  <c r="AQ41" i="30"/>
  <c r="AQ43" i="30" s="1"/>
  <c r="AC43" i="30"/>
  <c r="AE35" i="30"/>
  <c r="AA40" i="30"/>
  <c r="AP35" i="30"/>
  <c r="AP40" i="30" s="1"/>
  <c r="AB40" i="30"/>
  <c r="AQ35" i="30"/>
  <c r="AQ40" i="30" s="1"/>
  <c r="AC40" i="30"/>
  <c r="AE31" i="30"/>
  <c r="AA87" i="30"/>
  <c r="AP31" i="30"/>
  <c r="AP87" i="30" s="1"/>
  <c r="AB87" i="30"/>
  <c r="AQ31" i="30"/>
  <c r="AQ87" i="30" s="1"/>
  <c r="AC87" i="30"/>
  <c r="AE30" i="30"/>
  <c r="AA34" i="30"/>
  <c r="AP30" i="30"/>
  <c r="AP34" i="30" s="1"/>
  <c r="AB34" i="30"/>
  <c r="AQ30" i="30"/>
  <c r="AQ34" i="30" s="1"/>
  <c r="AC34" i="30"/>
  <c r="AE28" i="30"/>
  <c r="AA29" i="30"/>
  <c r="AA92" i="30"/>
  <c r="AP28" i="30"/>
  <c r="AB29" i="30"/>
  <c r="AB92" i="30"/>
  <c r="AQ28" i="30"/>
  <c r="AC29" i="30"/>
  <c r="AC92" i="30"/>
  <c r="AN29" i="30"/>
  <c r="AN92" i="30"/>
  <c r="AE23" i="30"/>
  <c r="AA27" i="30"/>
  <c r="AP23" i="30"/>
  <c r="AP27" i="30" s="1"/>
  <c r="AB27" i="30"/>
  <c r="AQ23" i="30"/>
  <c r="AQ27" i="30" s="1"/>
  <c r="AC27" i="30"/>
  <c r="AE20" i="30"/>
  <c r="AA91" i="30"/>
  <c r="AP20" i="30"/>
  <c r="AP91" i="30" s="1"/>
  <c r="AB91" i="30"/>
  <c r="AQ20" i="30"/>
  <c r="AQ91" i="30" s="1"/>
  <c r="AC91" i="30"/>
  <c r="AE17" i="30"/>
  <c r="AA22" i="30"/>
  <c r="AA85" i="30"/>
  <c r="AP17" i="30"/>
  <c r="AB22" i="30"/>
  <c r="AB85" i="30"/>
  <c r="AQ17" i="30"/>
  <c r="AC22" i="30"/>
  <c r="AC85" i="30"/>
  <c r="AN85" i="30"/>
  <c r="AN22" i="30"/>
  <c r="AE15" i="30"/>
  <c r="AA16" i="30"/>
  <c r="AA93" i="30"/>
  <c r="AP15" i="30"/>
  <c r="AB16" i="30"/>
  <c r="AB93" i="30"/>
  <c r="AQ15" i="30"/>
  <c r="AC16" i="30"/>
  <c r="AC93" i="30"/>
  <c r="AN16" i="30"/>
  <c r="AN93" i="30"/>
  <c r="AE12" i="30"/>
  <c r="AA14" i="30"/>
  <c r="AA84" i="30"/>
  <c r="AP12" i="30"/>
  <c r="AB14" i="30"/>
  <c r="AB84" i="30"/>
  <c r="AQ12" i="30"/>
  <c r="AC14" i="30"/>
  <c r="AC84" i="30"/>
  <c r="AN14" i="30"/>
  <c r="AN84" i="30"/>
  <c r="V81" i="30"/>
  <c r="W81" i="30"/>
  <c r="AE32" i="30"/>
  <c r="AM32" i="30" s="1"/>
  <c r="AE24" i="30"/>
  <c r="AM24" i="30" s="1"/>
  <c r="AE13" i="30"/>
  <c r="AM13" i="30" s="1"/>
  <c r="AS80" i="30"/>
  <c r="AL16" i="47" s="1"/>
  <c r="AS83" i="30"/>
  <c r="AO80" i="30"/>
  <c r="AO83" i="30"/>
  <c r="V80" i="30"/>
  <c r="V83" i="30"/>
  <c r="AA82" i="30" s="1"/>
  <c r="AE78" i="30"/>
  <c r="AM78" i="30" s="1"/>
  <c r="AE18" i="30"/>
  <c r="AM18" i="30" s="1"/>
  <c r="AE26" i="30"/>
  <c r="AM26" i="30" s="1"/>
  <c r="AE25" i="30"/>
  <c r="AM25" i="30" s="1"/>
  <c r="AE77" i="30"/>
  <c r="AM77" i="30" s="1"/>
  <c r="AN79" i="30"/>
  <c r="AE73" i="30"/>
  <c r="AM73" i="30" s="1"/>
  <c r="AE72" i="30"/>
  <c r="AM72" i="30" s="1"/>
  <c r="AE71" i="30"/>
  <c r="AM71" i="30" s="1"/>
  <c r="AE68" i="30"/>
  <c r="AM68" i="30" s="1"/>
  <c r="AE65" i="30"/>
  <c r="AM65" i="30" s="1"/>
  <c r="AE64" i="30"/>
  <c r="AM64" i="30" s="1"/>
  <c r="AE61" i="30"/>
  <c r="AM61" i="30" s="1"/>
  <c r="AE58" i="30"/>
  <c r="AM58" i="30" s="1"/>
  <c r="AE57" i="30"/>
  <c r="AM57" i="30" s="1"/>
  <c r="AE54" i="30"/>
  <c r="AM54" i="30" s="1"/>
  <c r="AE51" i="30"/>
  <c r="AM51" i="30" s="1"/>
  <c r="AE50" i="30"/>
  <c r="AM50" i="30" s="1"/>
  <c r="AE49" i="30"/>
  <c r="AM49" i="30" s="1"/>
  <c r="AE46" i="30"/>
  <c r="AM46" i="30" s="1"/>
  <c r="AE45" i="30"/>
  <c r="AM45" i="30" s="1"/>
  <c r="AE42" i="30"/>
  <c r="AM42" i="30" s="1"/>
  <c r="AE39" i="30"/>
  <c r="AM39" i="30" s="1"/>
  <c r="AE38" i="30"/>
  <c r="AM38" i="30" s="1"/>
  <c r="AE37" i="30"/>
  <c r="AM37" i="30" s="1"/>
  <c r="AE36" i="30"/>
  <c r="AM36" i="30" s="1"/>
  <c r="AE33" i="30"/>
  <c r="AM33" i="30" s="1"/>
  <c r="AE21" i="30"/>
  <c r="AM21" i="30" s="1"/>
  <c r="AE146" i="29"/>
  <c r="AA151" i="29"/>
  <c r="AP146" i="29"/>
  <c r="AP151" i="29" s="1"/>
  <c r="AB151" i="29"/>
  <c r="AQ146" i="29"/>
  <c r="AQ151" i="29" s="1"/>
  <c r="AC151" i="29"/>
  <c r="AE142" i="29"/>
  <c r="AA145" i="29"/>
  <c r="AP142" i="29"/>
  <c r="AP145" i="29" s="1"/>
  <c r="AB145" i="29"/>
  <c r="AQ142" i="29"/>
  <c r="AQ145" i="29" s="1"/>
  <c r="AC145" i="29"/>
  <c r="AE139" i="29"/>
  <c r="AA141" i="29"/>
  <c r="AP139" i="29"/>
  <c r="AP141" i="29" s="1"/>
  <c r="AB141" i="29"/>
  <c r="AQ139" i="29"/>
  <c r="AQ141" i="29" s="1"/>
  <c r="AC141" i="29"/>
  <c r="AE135" i="29"/>
  <c r="AA159" i="29"/>
  <c r="AP135" i="29"/>
  <c r="AP159" i="29" s="1"/>
  <c r="AB159" i="29"/>
  <c r="AQ135" i="29"/>
  <c r="AQ159" i="29" s="1"/>
  <c r="AC159" i="29"/>
  <c r="AE134" i="29"/>
  <c r="AA138" i="29"/>
  <c r="AP134" i="29"/>
  <c r="AP138" i="29" s="1"/>
  <c r="AB138" i="29"/>
  <c r="AQ134" i="29"/>
  <c r="AQ138" i="29" s="1"/>
  <c r="AC138" i="29"/>
  <c r="AE131" i="29"/>
  <c r="AA133" i="29"/>
  <c r="AP131" i="29"/>
  <c r="AP133" i="29" s="1"/>
  <c r="AB133" i="29"/>
  <c r="AQ131" i="29"/>
  <c r="AQ133" i="29" s="1"/>
  <c r="AC133" i="29"/>
  <c r="AE127" i="29"/>
  <c r="AA130" i="29"/>
  <c r="AP127" i="29"/>
  <c r="AP130" i="29" s="1"/>
  <c r="AB130" i="29"/>
  <c r="AQ127" i="29"/>
  <c r="AQ130" i="29" s="1"/>
  <c r="AC130" i="29"/>
  <c r="AE124" i="29"/>
  <c r="AA126" i="29"/>
  <c r="AP124" i="29"/>
  <c r="AP126" i="29" s="1"/>
  <c r="AB126" i="29"/>
  <c r="AQ124" i="29"/>
  <c r="AQ126" i="29" s="1"/>
  <c r="AC126" i="29"/>
  <c r="AE119" i="29"/>
  <c r="AA123" i="29"/>
  <c r="AP119" i="29"/>
  <c r="AP123" i="29" s="1"/>
  <c r="AB123" i="29"/>
  <c r="AQ119" i="29"/>
  <c r="AQ123" i="29" s="1"/>
  <c r="AC123" i="29"/>
  <c r="AE113" i="29"/>
  <c r="AA118" i="29"/>
  <c r="AP113" i="29"/>
  <c r="AP118" i="29" s="1"/>
  <c r="AB118" i="29"/>
  <c r="AQ113" i="29"/>
  <c r="AQ118" i="29" s="1"/>
  <c r="AC118" i="29"/>
  <c r="AE111" i="29"/>
  <c r="AA112" i="29"/>
  <c r="AA164" i="29"/>
  <c r="AP111" i="29"/>
  <c r="AB112" i="29"/>
  <c r="AB164" i="29"/>
  <c r="AQ111" i="29"/>
  <c r="AC112" i="29"/>
  <c r="AC164" i="29"/>
  <c r="AN112" i="29"/>
  <c r="AN164" i="29"/>
  <c r="AE106" i="29"/>
  <c r="AA110" i="29"/>
  <c r="AP106" i="29"/>
  <c r="AP110" i="29" s="1"/>
  <c r="AB110" i="29"/>
  <c r="AQ106" i="29"/>
  <c r="AQ110" i="29" s="1"/>
  <c r="AC110" i="29"/>
  <c r="AE102" i="29"/>
  <c r="AA105" i="29"/>
  <c r="AP102" i="29"/>
  <c r="AP105" i="29" s="1"/>
  <c r="AB105" i="29"/>
  <c r="AQ102" i="29"/>
  <c r="AQ105" i="29" s="1"/>
  <c r="AC105" i="29"/>
  <c r="AE97" i="29"/>
  <c r="AA101" i="29"/>
  <c r="AP97" i="29"/>
  <c r="AP101" i="29" s="1"/>
  <c r="AB101" i="29"/>
  <c r="AQ97" i="29"/>
  <c r="AQ101" i="29" s="1"/>
  <c r="AC101" i="29"/>
  <c r="AE92" i="29"/>
  <c r="AA96" i="29"/>
  <c r="AP92" i="29"/>
  <c r="AP96" i="29" s="1"/>
  <c r="AB96" i="29"/>
  <c r="AQ92" i="29"/>
  <c r="AQ96" i="29" s="1"/>
  <c r="AC96" i="29"/>
  <c r="AE65" i="29"/>
  <c r="AA66" i="29"/>
  <c r="AP65" i="29"/>
  <c r="AP66" i="29" s="1"/>
  <c r="AB66" i="29"/>
  <c r="AQ65" i="29"/>
  <c r="AQ66" i="29" s="1"/>
  <c r="AC66" i="29"/>
  <c r="AE61" i="29"/>
  <c r="AA64" i="29"/>
  <c r="AC64" i="29"/>
  <c r="AQ61" i="29"/>
  <c r="AQ64" i="29" s="1"/>
  <c r="AP61" i="29"/>
  <c r="AP64" i="29" s="1"/>
  <c r="AB64" i="29"/>
  <c r="AE58" i="29"/>
  <c r="AA60" i="29"/>
  <c r="AQ58" i="29"/>
  <c r="AQ60" i="29" s="1"/>
  <c r="AC60" i="29"/>
  <c r="AP58" i="29"/>
  <c r="AP60" i="29" s="1"/>
  <c r="AB60" i="29"/>
  <c r="AE87" i="29"/>
  <c r="AA91" i="29"/>
  <c r="AP87" i="29"/>
  <c r="AP91" i="29" s="1"/>
  <c r="AB91" i="29"/>
  <c r="AQ87" i="29"/>
  <c r="AQ91" i="29" s="1"/>
  <c r="AC91" i="29"/>
  <c r="AE82" i="29"/>
  <c r="AA86" i="29"/>
  <c r="AP82" i="29"/>
  <c r="AP86" i="29" s="1"/>
  <c r="AB86" i="29"/>
  <c r="AQ82" i="29"/>
  <c r="AQ86" i="29" s="1"/>
  <c r="AC86" i="29"/>
  <c r="AE77" i="29"/>
  <c r="AA81" i="29"/>
  <c r="AP77" i="29"/>
  <c r="AP81" i="29" s="1"/>
  <c r="AB81" i="29"/>
  <c r="AQ77" i="29"/>
  <c r="AQ81" i="29" s="1"/>
  <c r="AC81" i="29"/>
  <c r="AE72" i="29"/>
  <c r="AA76" i="29"/>
  <c r="AP72" i="29"/>
  <c r="AP76" i="29" s="1"/>
  <c r="AB76" i="29"/>
  <c r="AQ72" i="29"/>
  <c r="AQ76" i="29" s="1"/>
  <c r="AC76" i="29"/>
  <c r="AE70" i="29"/>
  <c r="AA163" i="29"/>
  <c r="AP70" i="29"/>
  <c r="AP163" i="29" s="1"/>
  <c r="AB163" i="29"/>
  <c r="AQ70" i="29"/>
  <c r="AQ163" i="29" s="1"/>
  <c r="AC163" i="29"/>
  <c r="AE67" i="29"/>
  <c r="AA71" i="29"/>
  <c r="AA157" i="29"/>
  <c r="AP67" i="29"/>
  <c r="AB71" i="29"/>
  <c r="AB157" i="29"/>
  <c r="AQ67" i="29"/>
  <c r="AC71" i="29"/>
  <c r="AC157" i="29"/>
  <c r="AN71" i="29"/>
  <c r="AN157" i="29"/>
  <c r="AE55" i="29"/>
  <c r="AA57" i="29"/>
  <c r="AP55" i="29"/>
  <c r="AP57" i="29" s="1"/>
  <c r="AB57" i="29"/>
  <c r="AQ55" i="29"/>
  <c r="AQ57" i="29" s="1"/>
  <c r="AC57" i="29"/>
  <c r="AE52" i="29"/>
  <c r="AA54" i="29"/>
  <c r="AP52" i="29"/>
  <c r="AP54" i="29" s="1"/>
  <c r="AB54" i="29"/>
  <c r="AQ52" i="29"/>
  <c r="AQ54" i="29" s="1"/>
  <c r="AC54" i="29"/>
  <c r="AE49" i="29"/>
  <c r="AA51" i="29"/>
  <c r="AP49" i="29"/>
  <c r="AP51" i="29" s="1"/>
  <c r="AB51" i="29"/>
  <c r="AQ49" i="29"/>
  <c r="AQ51" i="29" s="1"/>
  <c r="AC51" i="29"/>
  <c r="AE46" i="29"/>
  <c r="AA48" i="29"/>
  <c r="AP46" i="29"/>
  <c r="AP48" i="29" s="1"/>
  <c r="AB48" i="29"/>
  <c r="AQ46" i="29"/>
  <c r="AQ48" i="29" s="1"/>
  <c r="AC48" i="29"/>
  <c r="AE43" i="29"/>
  <c r="AA45" i="29"/>
  <c r="AP43" i="29"/>
  <c r="AP45" i="29" s="1"/>
  <c r="AB45" i="29"/>
  <c r="AQ43" i="29"/>
  <c r="AQ45" i="29" s="1"/>
  <c r="AC45" i="29"/>
  <c r="AE40" i="29"/>
  <c r="AA42" i="29"/>
  <c r="AP40" i="29"/>
  <c r="AP42" i="29" s="1"/>
  <c r="AB42" i="29"/>
  <c r="AQ40" i="29"/>
  <c r="AQ42" i="29" s="1"/>
  <c r="AC42" i="29"/>
  <c r="AE37" i="29"/>
  <c r="AA39" i="29"/>
  <c r="AP37" i="29"/>
  <c r="AP39" i="29" s="1"/>
  <c r="AB39" i="29"/>
  <c r="AQ37" i="29"/>
  <c r="AQ39" i="29" s="1"/>
  <c r="AC39" i="29"/>
  <c r="AE34" i="29"/>
  <c r="AA36" i="29"/>
  <c r="AP34" i="29"/>
  <c r="AP36" i="29" s="1"/>
  <c r="AB36" i="29"/>
  <c r="AQ34" i="29"/>
  <c r="AQ36" i="29" s="1"/>
  <c r="AC36" i="29"/>
  <c r="AE31" i="29"/>
  <c r="AA33" i="29"/>
  <c r="AP31" i="29"/>
  <c r="AP33" i="29" s="1"/>
  <c r="AB33" i="29"/>
  <c r="AQ31" i="29"/>
  <c r="AQ33" i="29" s="1"/>
  <c r="AC33" i="29"/>
  <c r="AE28" i="29"/>
  <c r="AA30" i="29"/>
  <c r="AP28" i="29"/>
  <c r="AP30" i="29" s="1"/>
  <c r="AB30" i="29"/>
  <c r="AQ28" i="29"/>
  <c r="AQ30" i="29" s="1"/>
  <c r="AC30" i="29"/>
  <c r="AE26" i="29"/>
  <c r="AA27" i="29"/>
  <c r="AP26" i="29"/>
  <c r="AP27" i="29" s="1"/>
  <c r="AB27" i="29"/>
  <c r="AQ26" i="29"/>
  <c r="AQ27" i="29" s="1"/>
  <c r="AC27" i="29"/>
  <c r="AE23" i="29"/>
  <c r="AA25" i="29"/>
  <c r="AP23" i="29"/>
  <c r="AP25" i="29" s="1"/>
  <c r="AB25" i="29"/>
  <c r="AQ23" i="29"/>
  <c r="AQ25" i="29" s="1"/>
  <c r="AC25" i="29"/>
  <c r="AE20" i="29"/>
  <c r="AA22" i="29"/>
  <c r="AP20" i="29"/>
  <c r="AP22" i="29" s="1"/>
  <c r="AB22" i="29"/>
  <c r="AQ20" i="29"/>
  <c r="AQ22" i="29" s="1"/>
  <c r="AC22" i="29"/>
  <c r="AE17" i="29"/>
  <c r="AA19" i="29"/>
  <c r="AP17" i="29"/>
  <c r="AP19" i="29" s="1"/>
  <c r="AB19" i="29"/>
  <c r="AQ17" i="29"/>
  <c r="AQ19" i="29" s="1"/>
  <c r="AC19" i="29"/>
  <c r="AE14" i="29"/>
  <c r="AA16" i="29"/>
  <c r="AA156" i="29"/>
  <c r="AP14" i="29"/>
  <c r="AB16" i="29"/>
  <c r="AB156" i="29"/>
  <c r="AQ14" i="29"/>
  <c r="AC16" i="29"/>
  <c r="AC156" i="29"/>
  <c r="AN16" i="29"/>
  <c r="AN156" i="29"/>
  <c r="AE12" i="29"/>
  <c r="AA13" i="29"/>
  <c r="AA165" i="29"/>
  <c r="AP12" i="29"/>
  <c r="AB13" i="29"/>
  <c r="AB165" i="29"/>
  <c r="AQ12" i="29"/>
  <c r="AC13" i="29"/>
  <c r="AC165" i="29"/>
  <c r="AN13" i="29"/>
  <c r="AN165" i="29"/>
  <c r="W153" i="29"/>
  <c r="V153" i="29"/>
  <c r="AN151" i="29"/>
  <c r="AE144" i="29"/>
  <c r="AM144" i="29" s="1"/>
  <c r="AE143" i="29"/>
  <c r="AM143" i="29" s="1"/>
  <c r="AE140" i="29"/>
  <c r="AM140" i="29" s="1"/>
  <c r="AE137" i="29"/>
  <c r="AM137" i="29" s="1"/>
  <c r="AE136" i="29"/>
  <c r="AM136" i="29" s="1"/>
  <c r="AE132" i="29"/>
  <c r="AM132" i="29" s="1"/>
  <c r="AE129" i="29"/>
  <c r="AM129" i="29" s="1"/>
  <c r="AE128" i="29"/>
  <c r="AM128" i="29" s="1"/>
  <c r="AE125" i="29"/>
  <c r="AM125" i="29" s="1"/>
  <c r="AE122" i="29"/>
  <c r="AM122" i="29" s="1"/>
  <c r="AE121" i="29"/>
  <c r="AM121" i="29" s="1"/>
  <c r="AE120" i="29"/>
  <c r="AM120" i="29" s="1"/>
  <c r="AE116" i="29"/>
  <c r="AM116" i="29" s="1"/>
  <c r="AE115" i="29"/>
  <c r="AM115" i="29" s="1"/>
  <c r="AE114" i="29"/>
  <c r="AM114" i="29" s="1"/>
  <c r="AE103" i="29"/>
  <c r="AM103" i="29" s="1"/>
  <c r="AE100" i="29"/>
  <c r="AM100" i="29" s="1"/>
  <c r="AE99" i="29"/>
  <c r="AM99" i="29" s="1"/>
  <c r="AE98" i="29"/>
  <c r="AM98" i="29" s="1"/>
  <c r="AE95" i="29"/>
  <c r="AM95" i="29" s="1"/>
  <c r="AE78" i="29"/>
  <c r="AM78" i="29" s="1"/>
  <c r="AE47" i="29"/>
  <c r="AM47" i="29" s="1"/>
  <c r="AE41" i="29"/>
  <c r="AM41" i="29" s="1"/>
  <c r="AE35" i="29"/>
  <c r="AM35" i="29" s="1"/>
  <c r="AE32" i="29"/>
  <c r="AM32" i="29" s="1"/>
  <c r="AE150" i="29"/>
  <c r="AM150" i="29" s="1"/>
  <c r="AE29" i="29"/>
  <c r="AM29" i="29" s="1"/>
  <c r="AE24" i="29"/>
  <c r="AM24" i="29" s="1"/>
  <c r="AE21" i="29"/>
  <c r="AM21" i="29" s="1"/>
  <c r="AE18" i="29"/>
  <c r="AM18" i="29" s="1"/>
  <c r="AE15" i="29"/>
  <c r="AM15" i="29" s="1"/>
  <c r="AS155" i="29"/>
  <c r="AO155" i="29"/>
  <c r="V155" i="29"/>
  <c r="AA154" i="29" s="1"/>
  <c r="AS152" i="29"/>
  <c r="AL15" i="47" s="1"/>
  <c r="AE94" i="29"/>
  <c r="AM94" i="29" s="1"/>
  <c r="AE90" i="29"/>
  <c r="AM90" i="29" s="1"/>
  <c r="AE89" i="29"/>
  <c r="AM89" i="29" s="1"/>
  <c r="AN60" i="29"/>
  <c r="AE84" i="29"/>
  <c r="AM84" i="29" s="1"/>
  <c r="AE83" i="29"/>
  <c r="AM83" i="29" s="1"/>
  <c r="AE80" i="29"/>
  <c r="AM80" i="29" s="1"/>
  <c r="AE79" i="29"/>
  <c r="AM79" i="29" s="1"/>
  <c r="AE44" i="29"/>
  <c r="AM44" i="29" s="1"/>
  <c r="AE117" i="29"/>
  <c r="AM117" i="29" s="1"/>
  <c r="AE93" i="29"/>
  <c r="AM93" i="29" s="1"/>
  <c r="AE85" i="29"/>
  <c r="AM85" i="29" s="1"/>
  <c r="AE74" i="29"/>
  <c r="AM74" i="29" s="1"/>
  <c r="AE73" i="29"/>
  <c r="AM73" i="29" s="1"/>
  <c r="AE69" i="29"/>
  <c r="AM69" i="29" s="1"/>
  <c r="AE68" i="29"/>
  <c r="AM68" i="29" s="1"/>
  <c r="AE53" i="29"/>
  <c r="AM53" i="29" s="1"/>
  <c r="AO152" i="29"/>
  <c r="AL152" i="29"/>
  <c r="AE15" i="47" s="1"/>
  <c r="AE109" i="29"/>
  <c r="AM109" i="29" s="1"/>
  <c r="AE108" i="29"/>
  <c r="AM108" i="29" s="1"/>
  <c r="AE107" i="29"/>
  <c r="AM107" i="29" s="1"/>
  <c r="AE104" i="29"/>
  <c r="AM104" i="29" s="1"/>
  <c r="AE88" i="29"/>
  <c r="AM88" i="29" s="1"/>
  <c r="AN64" i="29"/>
  <c r="AE75" i="29"/>
  <c r="AM75" i="29" s="1"/>
  <c r="AE62" i="29"/>
  <c r="AM62" i="29" s="1"/>
  <c r="AE59" i="29"/>
  <c r="AM59" i="29" s="1"/>
  <c r="AE56" i="29"/>
  <c r="AM56" i="29" s="1"/>
  <c r="P264" i="48"/>
  <c r="P255" i="48"/>
  <c r="P224" i="48"/>
  <c r="P216" i="48"/>
  <c r="P94" i="48"/>
  <c r="P75" i="48"/>
  <c r="P66" i="48"/>
  <c r="P48" i="48"/>
  <c r="P20" i="48"/>
  <c r="P89" i="48"/>
  <c r="P33" i="48"/>
  <c r="P366" i="48"/>
  <c r="P313" i="48"/>
  <c r="P267" i="48"/>
  <c r="P78" i="48"/>
  <c r="P69" i="48"/>
  <c r="P60" i="48"/>
  <c r="P51" i="48"/>
  <c r="P39" i="48"/>
  <c r="P30" i="48"/>
  <c r="P350" i="48"/>
  <c r="P305" i="48"/>
  <c r="P297" i="48"/>
  <c r="P281" i="48"/>
  <c r="P277" i="48"/>
  <c r="P233" i="48"/>
  <c r="P163" i="48"/>
  <c r="P188" i="48"/>
  <c r="P335" i="48"/>
  <c r="P208" i="48"/>
  <c r="P193" i="48"/>
  <c r="P178" i="48"/>
  <c r="P141" i="48"/>
  <c r="P125" i="48"/>
  <c r="P104" i="48"/>
  <c r="P36" i="48"/>
  <c r="P27" i="48"/>
  <c r="P356" i="48"/>
  <c r="P345" i="48"/>
  <c r="P340" i="48"/>
  <c r="P319" i="48"/>
  <c r="P310" i="48"/>
  <c r="P300" i="48"/>
  <c r="P287" i="48"/>
  <c r="P270" i="48"/>
  <c r="P247" i="48"/>
  <c r="P240" i="48"/>
  <c r="P213" i="48"/>
  <c r="P198" i="48"/>
  <c r="P183" i="48"/>
  <c r="P167" i="48"/>
  <c r="P158" i="48"/>
  <c r="P146" i="48"/>
  <c r="P115" i="48"/>
  <c r="P110" i="48"/>
  <c r="P81" i="48"/>
  <c r="P72" i="48"/>
  <c r="P63" i="48"/>
  <c r="P54" i="48"/>
  <c r="P17" i="48"/>
  <c r="P361" i="48"/>
  <c r="P324" i="48"/>
  <c r="P130" i="48"/>
  <c r="P292" i="48"/>
  <c r="P259" i="48"/>
  <c r="P252" i="48"/>
  <c r="P229" i="48"/>
  <c r="P221" i="48"/>
  <c r="P152" i="48"/>
  <c r="P98" i="48"/>
  <c r="P24" i="48"/>
  <c r="P329" i="48"/>
  <c r="P203" i="48"/>
  <c r="P173" i="48"/>
  <c r="P135" i="48"/>
  <c r="P120" i="48"/>
  <c r="P86" i="48"/>
  <c r="AP51" i="40" l="1"/>
  <c r="AQ115" i="41"/>
  <c r="AP115" i="41"/>
  <c r="AP33" i="41"/>
  <c r="AQ51" i="40"/>
  <c r="AP137" i="40"/>
  <c r="AB80" i="30"/>
  <c r="U16" i="47" s="1"/>
  <c r="AB155" i="42"/>
  <c r="AA155" i="42"/>
  <c r="AA153" i="42"/>
  <c r="O22" i="47"/>
  <c r="AC155" i="42"/>
  <c r="AA109" i="41"/>
  <c r="O21" i="47"/>
  <c r="AA133" i="40"/>
  <c r="AC133" i="40"/>
  <c r="AA131" i="40"/>
  <c r="O20" i="47"/>
  <c r="AB133" i="40"/>
  <c r="AN61" i="31"/>
  <c r="AA61" i="31"/>
  <c r="AC61" i="31"/>
  <c r="AA59" i="31"/>
  <c r="O17" i="47"/>
  <c r="AB61" i="31"/>
  <c r="AA153" i="29"/>
  <c r="AA228" i="32"/>
  <c r="AB228" i="32"/>
  <c r="AA225" i="32"/>
  <c r="T18" i="47" s="1"/>
  <c r="AA226" i="32"/>
  <c r="O18" i="47"/>
  <c r="AC228" i="32"/>
  <c r="AN228" i="32"/>
  <c r="AA81" i="30"/>
  <c r="O16" i="47"/>
  <c r="AA80" i="30"/>
  <c r="T16" i="47" s="1"/>
  <c r="AC83" i="30"/>
  <c r="AE82" i="30" s="1"/>
  <c r="AN83" i="30"/>
  <c r="AC80" i="30"/>
  <c r="V16" i="47" s="1"/>
  <c r="AA83" i="30"/>
  <c r="AB83" i="30"/>
  <c r="AC152" i="29"/>
  <c r="V15" i="47" s="1"/>
  <c r="AB152" i="29"/>
  <c r="U15" i="47" s="1"/>
  <c r="AA152" i="29"/>
  <c r="T15" i="47" s="1"/>
  <c r="AA98" i="39"/>
  <c r="O19" i="47"/>
  <c r="AM127" i="42"/>
  <c r="AM129" i="42" s="1"/>
  <c r="AE129" i="42"/>
  <c r="AM123" i="42"/>
  <c r="AM126" i="42" s="1"/>
  <c r="AE126" i="42"/>
  <c r="AE109" i="42"/>
  <c r="AM107" i="42"/>
  <c r="AM109" i="42" s="1"/>
  <c r="AM97" i="42"/>
  <c r="AM99" i="42" s="1"/>
  <c r="AE99" i="42"/>
  <c r="AM93" i="42"/>
  <c r="AM96" i="42" s="1"/>
  <c r="AE96" i="42"/>
  <c r="AE89" i="42"/>
  <c r="AM85" i="42"/>
  <c r="AM89" i="42" s="1"/>
  <c r="AM81" i="42"/>
  <c r="AM84" i="42" s="1"/>
  <c r="AE84" i="42"/>
  <c r="AM78" i="42"/>
  <c r="AM80" i="42" s="1"/>
  <c r="AE80" i="42"/>
  <c r="AM73" i="42"/>
  <c r="AM77" i="42" s="1"/>
  <c r="AE77" i="42"/>
  <c r="AM70" i="42"/>
  <c r="AM72" i="42" s="1"/>
  <c r="AE72" i="42"/>
  <c r="AM65" i="42"/>
  <c r="AM69" i="42" s="1"/>
  <c r="AE69" i="42"/>
  <c r="AM63" i="42"/>
  <c r="AE64" i="42"/>
  <c r="AE164" i="42"/>
  <c r="AP64" i="42"/>
  <c r="AP164" i="42"/>
  <c r="AQ64" i="42"/>
  <c r="AQ164" i="42"/>
  <c r="AM57" i="42"/>
  <c r="AM62" i="42" s="1"/>
  <c r="AE62" i="42"/>
  <c r="AM53" i="42"/>
  <c r="AM56" i="42" s="1"/>
  <c r="AE56" i="42"/>
  <c r="AM49" i="42"/>
  <c r="AE52" i="42"/>
  <c r="AE159" i="42"/>
  <c r="AP52" i="42"/>
  <c r="AP159" i="42"/>
  <c r="AQ52" i="42"/>
  <c r="AQ159" i="42"/>
  <c r="AM44" i="42"/>
  <c r="AM48" i="42" s="1"/>
  <c r="AE48" i="42"/>
  <c r="AM39" i="42"/>
  <c r="AE43" i="42"/>
  <c r="AE157" i="42"/>
  <c r="AP43" i="42"/>
  <c r="AP157" i="42"/>
  <c r="AQ43" i="42"/>
  <c r="AQ157" i="42"/>
  <c r="AM37" i="42"/>
  <c r="AE38" i="42"/>
  <c r="AE165" i="42"/>
  <c r="AP38" i="42"/>
  <c r="AP165" i="42"/>
  <c r="AQ38" i="42"/>
  <c r="AQ165" i="42"/>
  <c r="AM34" i="42"/>
  <c r="AM36" i="42" s="1"/>
  <c r="AE36" i="42"/>
  <c r="AM32" i="42"/>
  <c r="AM33" i="42" s="1"/>
  <c r="AE33" i="42"/>
  <c r="AM29" i="42"/>
  <c r="AM31" i="42" s="1"/>
  <c r="AE31" i="42"/>
  <c r="AM26" i="42"/>
  <c r="AM28" i="42" s="1"/>
  <c r="AE28" i="42"/>
  <c r="AM23" i="42"/>
  <c r="AM25" i="42" s="1"/>
  <c r="AE25" i="42"/>
  <c r="AM20" i="42"/>
  <c r="AM22" i="42" s="1"/>
  <c r="AE22" i="42"/>
  <c r="AM17" i="42"/>
  <c r="AM163" i="42" s="1"/>
  <c r="AE163" i="42"/>
  <c r="AM14" i="42"/>
  <c r="AE158" i="42"/>
  <c r="AM12" i="42"/>
  <c r="AE19" i="42"/>
  <c r="AE156" i="42"/>
  <c r="AP19" i="42"/>
  <c r="AP156" i="42"/>
  <c r="AQ19" i="42"/>
  <c r="AQ156" i="42"/>
  <c r="AE146" i="42"/>
  <c r="AM143" i="42"/>
  <c r="AM146" i="42" s="1"/>
  <c r="AM130" i="42"/>
  <c r="AM133" i="42" s="1"/>
  <c r="AE133" i="42"/>
  <c r="AE106" i="42"/>
  <c r="AM104" i="42"/>
  <c r="AM106" i="42" s="1"/>
  <c r="AM147" i="42"/>
  <c r="AM151" i="42" s="1"/>
  <c r="AE151" i="42"/>
  <c r="AM134" i="42"/>
  <c r="AM138" i="42" s="1"/>
  <c r="AE138" i="42"/>
  <c r="AE103" i="42"/>
  <c r="AM100" i="42"/>
  <c r="AM103" i="42" s="1"/>
  <c r="AM110" i="42"/>
  <c r="AM114" i="42" s="1"/>
  <c r="AE114" i="42"/>
  <c r="AE92" i="42"/>
  <c r="AM90" i="42"/>
  <c r="AM92" i="42" s="1"/>
  <c r="AM139" i="42"/>
  <c r="AM142" i="42" s="1"/>
  <c r="AE142" i="42"/>
  <c r="AM121" i="42"/>
  <c r="AM122" i="42" s="1"/>
  <c r="AE122" i="42"/>
  <c r="AM117" i="42"/>
  <c r="AM120" i="42" s="1"/>
  <c r="AE120" i="42"/>
  <c r="AE116" i="42"/>
  <c r="AM115" i="42"/>
  <c r="AM116" i="42" s="1"/>
  <c r="AN155" i="42"/>
  <c r="AA152" i="42"/>
  <c r="T22" i="47" s="1"/>
  <c r="AC152" i="42"/>
  <c r="V22" i="47" s="1"/>
  <c r="AB152" i="42"/>
  <c r="U22" i="47" s="1"/>
  <c r="AN152" i="42"/>
  <c r="AQ152" i="42"/>
  <c r="AJ22" i="47" s="1"/>
  <c r="AE102" i="41"/>
  <c r="AM99" i="41"/>
  <c r="AM102" i="41" s="1"/>
  <c r="AM78" i="41"/>
  <c r="AE83" i="41"/>
  <c r="AE74" i="41"/>
  <c r="AM71" i="41"/>
  <c r="AM74" i="41" s="1"/>
  <c r="AE67" i="41"/>
  <c r="AM65" i="41"/>
  <c r="AM67" i="41" s="1"/>
  <c r="AE64" i="41"/>
  <c r="AM60" i="41"/>
  <c r="AM64" i="41" s="1"/>
  <c r="AE59" i="41"/>
  <c r="AM55" i="41"/>
  <c r="AM59" i="41" s="1"/>
  <c r="AM52" i="41"/>
  <c r="AM54" i="41" s="1"/>
  <c r="AE54" i="41"/>
  <c r="AM50" i="41"/>
  <c r="AM51" i="41" s="1"/>
  <c r="AE51" i="41"/>
  <c r="AM44" i="41"/>
  <c r="AM49" i="41" s="1"/>
  <c r="AE49" i="41"/>
  <c r="AM39" i="41"/>
  <c r="AM43" i="41" s="1"/>
  <c r="AE43" i="41"/>
  <c r="AM34" i="41"/>
  <c r="AM38" i="41" s="1"/>
  <c r="AE38" i="41"/>
  <c r="AM30" i="41"/>
  <c r="AE115" i="41"/>
  <c r="AM29" i="41"/>
  <c r="AE33" i="41"/>
  <c r="AM27" i="41"/>
  <c r="AE28" i="41"/>
  <c r="AE120" i="41"/>
  <c r="AP28" i="41"/>
  <c r="AP120" i="41"/>
  <c r="AQ28" i="41"/>
  <c r="AQ120" i="41"/>
  <c r="AM21" i="41"/>
  <c r="AM26" i="41" s="1"/>
  <c r="AE26" i="41"/>
  <c r="AM19" i="41"/>
  <c r="AM119" i="41" s="1"/>
  <c r="AE119" i="41"/>
  <c r="AM16" i="41"/>
  <c r="AE20" i="41"/>
  <c r="AE113" i="41"/>
  <c r="AP20" i="41"/>
  <c r="AP113" i="41"/>
  <c r="AQ20" i="41"/>
  <c r="AQ113" i="41"/>
  <c r="AM12" i="41"/>
  <c r="AE15" i="41"/>
  <c r="AE112" i="41"/>
  <c r="AP15" i="41"/>
  <c r="AP112" i="41"/>
  <c r="AQ15" i="41"/>
  <c r="AQ112" i="41"/>
  <c r="AM96" i="41"/>
  <c r="AM98" i="41" s="1"/>
  <c r="AE98" i="41"/>
  <c r="AM89" i="41"/>
  <c r="AM95" i="41" s="1"/>
  <c r="AE95" i="41"/>
  <c r="AM75" i="41"/>
  <c r="AM77" i="41" s="1"/>
  <c r="AE77" i="41"/>
  <c r="AM82" i="41"/>
  <c r="AM121" i="41" s="1"/>
  <c r="AE121" i="41"/>
  <c r="AE107" i="41"/>
  <c r="AM103" i="41"/>
  <c r="AM107" i="41" s="1"/>
  <c r="AM68" i="41"/>
  <c r="AM70" i="41" s="1"/>
  <c r="AE70" i="41"/>
  <c r="AB111" i="41"/>
  <c r="AM88" i="41"/>
  <c r="AE88" i="41"/>
  <c r="AA108" i="41"/>
  <c r="T21" i="47" s="1"/>
  <c r="AB108" i="41"/>
  <c r="U21" i="47" s="1"/>
  <c r="AC108" i="41"/>
  <c r="V21" i="47" s="1"/>
  <c r="AN108" i="41"/>
  <c r="AG21" i="47" s="1"/>
  <c r="AN111" i="41"/>
  <c r="AP83" i="41"/>
  <c r="AQ83" i="41"/>
  <c r="AC111" i="41"/>
  <c r="AA111" i="41"/>
  <c r="AM123" i="40"/>
  <c r="AM126" i="40" s="1"/>
  <c r="AE126" i="40"/>
  <c r="AE93" i="40"/>
  <c r="AM91" i="40"/>
  <c r="AM93" i="40" s="1"/>
  <c r="AM88" i="40"/>
  <c r="AM90" i="40" s="1"/>
  <c r="AE90" i="40"/>
  <c r="AM82" i="40"/>
  <c r="AM85" i="40" s="1"/>
  <c r="AE85" i="40"/>
  <c r="AM79" i="40"/>
  <c r="AM81" i="40" s="1"/>
  <c r="AE81" i="40"/>
  <c r="AM75" i="40"/>
  <c r="AM78" i="40" s="1"/>
  <c r="AE78" i="40"/>
  <c r="AM72" i="40"/>
  <c r="AM74" i="40" s="1"/>
  <c r="AE74" i="40"/>
  <c r="AM67" i="40"/>
  <c r="AM71" i="40" s="1"/>
  <c r="AE71" i="40"/>
  <c r="AM62" i="40"/>
  <c r="AM66" i="40" s="1"/>
  <c r="AE66" i="40"/>
  <c r="AM57" i="40"/>
  <c r="AM61" i="40" s="1"/>
  <c r="AE61" i="40"/>
  <c r="AM52" i="40"/>
  <c r="AM56" i="40" s="1"/>
  <c r="AE56" i="40"/>
  <c r="AM48" i="40"/>
  <c r="AM137" i="40" s="1"/>
  <c r="AE137" i="40"/>
  <c r="AM47" i="40"/>
  <c r="AE51" i="40"/>
  <c r="AM45" i="40"/>
  <c r="AE46" i="40"/>
  <c r="AE142" i="40"/>
  <c r="AP46" i="40"/>
  <c r="AP142" i="40"/>
  <c r="AQ46" i="40"/>
  <c r="AQ142" i="40"/>
  <c r="AM39" i="40"/>
  <c r="AM44" i="40" s="1"/>
  <c r="AE44" i="40"/>
  <c r="AM34" i="40"/>
  <c r="AM38" i="40" s="1"/>
  <c r="AE38" i="40"/>
  <c r="AM29" i="40"/>
  <c r="AE33" i="40"/>
  <c r="AE136" i="40"/>
  <c r="AP33" i="40"/>
  <c r="AP136" i="40"/>
  <c r="AQ33" i="40"/>
  <c r="AQ136" i="40"/>
  <c r="AM27" i="40"/>
  <c r="AM141" i="40" s="1"/>
  <c r="AE141" i="40"/>
  <c r="AM26" i="40"/>
  <c r="AM138" i="40" s="1"/>
  <c r="AE138" i="40"/>
  <c r="AM23" i="40"/>
  <c r="AE28" i="40"/>
  <c r="AE135" i="40"/>
  <c r="AP28" i="40"/>
  <c r="AP135" i="40"/>
  <c r="AQ28" i="40"/>
  <c r="AQ135" i="40"/>
  <c r="AM21" i="40"/>
  <c r="AE22" i="40"/>
  <c r="AE143" i="40"/>
  <c r="AP22" i="40"/>
  <c r="AP143" i="40"/>
  <c r="AQ22" i="40"/>
  <c r="AQ130" i="40" s="1"/>
  <c r="AJ20" i="47" s="1"/>
  <c r="AQ143" i="40"/>
  <c r="AM18" i="40"/>
  <c r="AM20" i="40" s="1"/>
  <c r="AE20" i="40"/>
  <c r="AM15" i="40"/>
  <c r="AM17" i="40" s="1"/>
  <c r="AE17" i="40"/>
  <c r="AM110" i="40"/>
  <c r="AM114" i="40" s="1"/>
  <c r="AE114" i="40"/>
  <c r="AE109" i="40"/>
  <c r="AM105" i="40"/>
  <c r="AM109" i="40" s="1"/>
  <c r="AM12" i="40"/>
  <c r="AE14" i="40"/>
  <c r="AE134" i="40"/>
  <c r="AP14" i="40"/>
  <c r="AP134" i="40"/>
  <c r="AQ14" i="40"/>
  <c r="AQ134" i="40"/>
  <c r="AE104" i="40"/>
  <c r="AM102" i="40"/>
  <c r="AM104" i="40" s="1"/>
  <c r="AM127" i="40"/>
  <c r="AM129" i="40" s="1"/>
  <c r="AE129" i="40"/>
  <c r="AE122" i="40"/>
  <c r="AM120" i="40"/>
  <c r="AM122" i="40" s="1"/>
  <c r="AM99" i="40"/>
  <c r="AM101" i="40" s="1"/>
  <c r="AE101" i="40"/>
  <c r="AE119" i="40"/>
  <c r="AM115" i="40"/>
  <c r="AM119" i="40" s="1"/>
  <c r="AM86" i="40"/>
  <c r="AM87" i="40" s="1"/>
  <c r="AE87" i="40"/>
  <c r="AC130" i="40"/>
  <c r="V20" i="47" s="1"/>
  <c r="AN130" i="40"/>
  <c r="AG20" i="47" s="1"/>
  <c r="AE98" i="40"/>
  <c r="AA130" i="40"/>
  <c r="T20" i="47" s="1"/>
  <c r="AB130" i="40"/>
  <c r="U20" i="47" s="1"/>
  <c r="AN133" i="40"/>
  <c r="AM98" i="40"/>
  <c r="AM75" i="39"/>
  <c r="AM79" i="39" s="1"/>
  <c r="AE79" i="39"/>
  <c r="AM65" i="39"/>
  <c r="AM69" i="39" s="1"/>
  <c r="AE69" i="39"/>
  <c r="AM60" i="39"/>
  <c r="AM64" i="39" s="1"/>
  <c r="AE64" i="39"/>
  <c r="AM55" i="39"/>
  <c r="AM59" i="39" s="1"/>
  <c r="AE59" i="39"/>
  <c r="AM50" i="39"/>
  <c r="AM54" i="39" s="1"/>
  <c r="AE54" i="39"/>
  <c r="AM48" i="39"/>
  <c r="AM49" i="39" s="1"/>
  <c r="AE49" i="39"/>
  <c r="AM43" i="39"/>
  <c r="AM47" i="39" s="1"/>
  <c r="AE47" i="39"/>
  <c r="AM40" i="39"/>
  <c r="AM42" i="39" s="1"/>
  <c r="AE42" i="39"/>
  <c r="AM38" i="39"/>
  <c r="AM39" i="39" s="1"/>
  <c r="AE39" i="39"/>
  <c r="AM36" i="39"/>
  <c r="AE37" i="39"/>
  <c r="AE109" i="39"/>
  <c r="AP37" i="39"/>
  <c r="AP109" i="39"/>
  <c r="AQ37" i="39"/>
  <c r="AQ109" i="39"/>
  <c r="AM31" i="39"/>
  <c r="AE35" i="39"/>
  <c r="AE103" i="39"/>
  <c r="AP35" i="39"/>
  <c r="AP103" i="39"/>
  <c r="AQ35" i="39"/>
  <c r="AQ103" i="39"/>
  <c r="AM26" i="39"/>
  <c r="AM30" i="39" s="1"/>
  <c r="AE30" i="39"/>
  <c r="AM22" i="39"/>
  <c r="AE25" i="39"/>
  <c r="AE104" i="39"/>
  <c r="AP25" i="39"/>
  <c r="AP104" i="39"/>
  <c r="AQ25" i="39"/>
  <c r="AQ104" i="39"/>
  <c r="AM20" i="39"/>
  <c r="AM108" i="39" s="1"/>
  <c r="AE108" i="39"/>
  <c r="AM18" i="39"/>
  <c r="AE21" i="39"/>
  <c r="AE102" i="39"/>
  <c r="AP21" i="39"/>
  <c r="AP102" i="39"/>
  <c r="AQ21" i="39"/>
  <c r="AQ102" i="39"/>
  <c r="AM14" i="39"/>
  <c r="AE17" i="39"/>
  <c r="AE101" i="39"/>
  <c r="AP17" i="39"/>
  <c r="AP101" i="39"/>
  <c r="AQ17" i="39"/>
  <c r="AQ101" i="39"/>
  <c r="AM12" i="39"/>
  <c r="AE13" i="39"/>
  <c r="AE110" i="39"/>
  <c r="AP13" i="39"/>
  <c r="AP110" i="39"/>
  <c r="AQ13" i="39"/>
  <c r="AQ110" i="39"/>
  <c r="AE96" i="39"/>
  <c r="AM93" i="39"/>
  <c r="AM96" i="39" s="1"/>
  <c r="AM70" i="39"/>
  <c r="AM74" i="39" s="1"/>
  <c r="AE74" i="39"/>
  <c r="AM80" i="39"/>
  <c r="AM84" i="39" s="1"/>
  <c r="AE84" i="39"/>
  <c r="AM90" i="39"/>
  <c r="AM92" i="39" s="1"/>
  <c r="AE92" i="39"/>
  <c r="AE89" i="39"/>
  <c r="AM85" i="39"/>
  <c r="AM89" i="39" s="1"/>
  <c r="AA100" i="39"/>
  <c r="AA97" i="39"/>
  <c r="T19" i="47" s="1"/>
  <c r="AN97" i="39"/>
  <c r="AG19" i="47" s="1"/>
  <c r="AN100" i="39"/>
  <c r="AC100" i="39"/>
  <c r="AC97" i="39"/>
  <c r="V19" i="47" s="1"/>
  <c r="AB97" i="39"/>
  <c r="U19" i="47" s="1"/>
  <c r="AB100" i="39"/>
  <c r="AE217" i="32"/>
  <c r="AM213" i="32"/>
  <c r="AM217" i="32" s="1"/>
  <c r="AE192" i="32"/>
  <c r="AM190" i="32"/>
  <c r="AM192" i="32" s="1"/>
  <c r="AM182" i="32"/>
  <c r="AM184" i="32" s="1"/>
  <c r="AE184" i="32"/>
  <c r="AM177" i="32"/>
  <c r="AM181" i="32" s="1"/>
  <c r="AE181" i="32"/>
  <c r="AM172" i="32"/>
  <c r="AM176" i="32" s="1"/>
  <c r="AE176" i="32"/>
  <c r="AM169" i="32"/>
  <c r="AM171" i="32" s="1"/>
  <c r="AE171" i="32"/>
  <c r="AM167" i="32"/>
  <c r="AM168" i="32" s="1"/>
  <c r="AE168" i="32"/>
  <c r="AM159" i="32"/>
  <c r="AM166" i="32" s="1"/>
  <c r="AE166" i="32"/>
  <c r="AM155" i="32"/>
  <c r="AM158" i="32" s="1"/>
  <c r="AE158" i="32"/>
  <c r="AM152" i="32"/>
  <c r="AM154" i="32" s="1"/>
  <c r="AE154" i="32"/>
  <c r="AM147" i="32"/>
  <c r="AM151" i="32" s="1"/>
  <c r="AE151" i="32"/>
  <c r="AM143" i="32"/>
  <c r="AM146" i="32" s="1"/>
  <c r="AE146" i="32"/>
  <c r="AM140" i="32"/>
  <c r="AM142" i="32" s="1"/>
  <c r="AE142" i="32"/>
  <c r="AM135" i="32"/>
  <c r="AM139" i="32" s="1"/>
  <c r="AE139" i="32"/>
  <c r="AM130" i="32"/>
  <c r="AM134" i="32" s="1"/>
  <c r="AE134" i="32"/>
  <c r="AM125" i="32"/>
  <c r="AM129" i="32" s="1"/>
  <c r="AE129" i="32"/>
  <c r="AM120" i="32"/>
  <c r="AM124" i="32" s="1"/>
  <c r="AE124" i="32"/>
  <c r="AM117" i="32"/>
  <c r="AM119" i="32" s="1"/>
  <c r="AE119" i="32"/>
  <c r="AE222" i="32"/>
  <c r="AM218" i="32"/>
  <c r="AM222" i="32" s="1"/>
  <c r="AE189" i="32"/>
  <c r="AM185" i="32"/>
  <c r="AM189" i="32" s="1"/>
  <c r="AM115" i="32"/>
  <c r="AM116" i="32" s="1"/>
  <c r="AE116" i="32"/>
  <c r="AM110" i="32"/>
  <c r="AM114" i="32" s="1"/>
  <c r="AE114" i="32"/>
  <c r="AM105" i="32"/>
  <c r="AM109" i="32" s="1"/>
  <c r="AE109" i="32"/>
  <c r="AM101" i="32"/>
  <c r="AM104" i="32" s="1"/>
  <c r="AE104" i="32"/>
  <c r="AM98" i="32"/>
  <c r="AM100" i="32" s="1"/>
  <c r="AE100" i="32"/>
  <c r="AM94" i="32"/>
  <c r="AM232" i="32" s="1"/>
  <c r="AE232" i="32"/>
  <c r="AM93" i="32"/>
  <c r="AM97" i="32" s="1"/>
  <c r="AE97" i="32"/>
  <c r="AM90" i="32"/>
  <c r="AM92" i="32" s="1"/>
  <c r="AE92" i="32"/>
  <c r="AM88" i="32"/>
  <c r="AE89" i="32"/>
  <c r="AE237" i="32"/>
  <c r="AP89" i="32"/>
  <c r="AP237" i="32"/>
  <c r="AQ89" i="32"/>
  <c r="AQ237" i="32"/>
  <c r="AM83" i="32"/>
  <c r="AM234" i="32" s="1"/>
  <c r="AE234" i="32"/>
  <c r="AM80" i="32"/>
  <c r="AM231" i="32" s="1"/>
  <c r="AE231" i="32"/>
  <c r="AM78" i="32"/>
  <c r="AE87" i="32"/>
  <c r="AM73" i="32"/>
  <c r="AM77" i="32" s="1"/>
  <c r="AE77" i="32"/>
  <c r="AM69" i="32"/>
  <c r="AM72" i="32" s="1"/>
  <c r="AE72" i="32"/>
  <c r="AM64" i="32"/>
  <c r="AM68" i="32" s="1"/>
  <c r="AE68" i="32"/>
  <c r="AM59" i="32"/>
  <c r="AM63" i="32" s="1"/>
  <c r="AE63" i="32"/>
  <c r="AM54" i="32"/>
  <c r="AM58" i="32" s="1"/>
  <c r="AE58" i="32"/>
  <c r="AM203" i="32"/>
  <c r="AM207" i="32" s="1"/>
  <c r="AE207" i="32"/>
  <c r="AM48" i="32"/>
  <c r="AM53" i="32" s="1"/>
  <c r="AE53" i="32"/>
  <c r="AM42" i="32"/>
  <c r="AM47" i="32" s="1"/>
  <c r="AE47" i="32"/>
  <c r="AM40" i="32"/>
  <c r="AM236" i="32" s="1"/>
  <c r="AE236" i="32"/>
  <c r="AM38" i="32"/>
  <c r="AM230" i="32" s="1"/>
  <c r="AE230" i="32"/>
  <c r="AM37" i="32"/>
  <c r="AM41" i="32" s="1"/>
  <c r="AE41" i="32"/>
  <c r="AM34" i="32"/>
  <c r="AM36" i="32" s="1"/>
  <c r="AE36" i="32"/>
  <c r="AM31" i="32"/>
  <c r="AM33" i="32" s="1"/>
  <c r="AE33" i="32"/>
  <c r="AM28" i="32"/>
  <c r="AM30" i="32" s="1"/>
  <c r="AE30" i="32"/>
  <c r="AM25" i="32"/>
  <c r="AM27" i="32" s="1"/>
  <c r="AE27" i="32"/>
  <c r="AM21" i="32"/>
  <c r="AM24" i="32" s="1"/>
  <c r="AE24" i="32"/>
  <c r="AM17" i="32"/>
  <c r="AM20" i="32" s="1"/>
  <c r="AE20" i="32"/>
  <c r="AM14" i="32"/>
  <c r="AE16" i="32"/>
  <c r="AE229" i="32"/>
  <c r="AP16" i="32"/>
  <c r="AP229" i="32"/>
  <c r="AQ16" i="32"/>
  <c r="AQ229" i="32"/>
  <c r="AM12" i="32"/>
  <c r="AE13" i="32"/>
  <c r="AE238" i="32"/>
  <c r="AP13" i="32"/>
  <c r="AP225" i="32" s="1"/>
  <c r="AI18" i="47" s="1"/>
  <c r="AP238" i="32"/>
  <c r="AQ13" i="32"/>
  <c r="AQ225" i="32" s="1"/>
  <c r="AJ18" i="47" s="1"/>
  <c r="AQ238" i="32"/>
  <c r="AE212" i="32"/>
  <c r="AM208" i="32"/>
  <c r="AM212" i="32" s="1"/>
  <c r="AM198" i="32"/>
  <c r="AM202" i="32" s="1"/>
  <c r="AE202" i="32"/>
  <c r="AE224" i="32"/>
  <c r="AM223" i="32"/>
  <c r="AM224" i="32" s="1"/>
  <c r="AE197" i="32"/>
  <c r="AM193" i="32"/>
  <c r="AM197" i="32" s="1"/>
  <c r="AB225" i="32"/>
  <c r="U18" i="47" s="1"/>
  <c r="AC225" i="32"/>
  <c r="V18" i="47" s="1"/>
  <c r="AN225" i="32"/>
  <c r="AG18" i="47" s="1"/>
  <c r="AM47" i="31"/>
  <c r="AM51" i="31" s="1"/>
  <c r="AE51" i="31"/>
  <c r="AM43" i="31"/>
  <c r="AM46" i="31" s="1"/>
  <c r="AE46" i="31"/>
  <c r="AM40" i="31"/>
  <c r="AM42" i="31" s="1"/>
  <c r="AE42" i="31"/>
  <c r="AM36" i="31"/>
  <c r="AM65" i="31" s="1"/>
  <c r="AE65" i="31"/>
  <c r="AM35" i="31"/>
  <c r="AM39" i="31" s="1"/>
  <c r="AE39" i="31"/>
  <c r="AM33" i="31"/>
  <c r="AE34" i="31"/>
  <c r="AE70" i="31"/>
  <c r="AP34" i="31"/>
  <c r="AP70" i="31"/>
  <c r="AQ34" i="31"/>
  <c r="AQ70" i="31"/>
  <c r="AM28" i="31"/>
  <c r="AM32" i="31" s="1"/>
  <c r="AE32" i="31"/>
  <c r="AM26" i="31"/>
  <c r="AM69" i="31" s="1"/>
  <c r="AE69" i="31"/>
  <c r="AM23" i="31"/>
  <c r="AE27" i="31"/>
  <c r="AE63" i="31"/>
  <c r="AP27" i="31"/>
  <c r="AP63" i="31"/>
  <c r="AQ27" i="31"/>
  <c r="AQ63" i="31"/>
  <c r="AM21" i="31"/>
  <c r="AE22" i="31"/>
  <c r="AE71" i="31"/>
  <c r="AP22" i="31"/>
  <c r="AP71" i="31"/>
  <c r="AQ22" i="31"/>
  <c r="AQ71" i="31"/>
  <c r="AM18" i="31"/>
  <c r="AM20" i="31" s="1"/>
  <c r="AE20" i="31"/>
  <c r="AM15" i="31"/>
  <c r="AM17" i="31" s="1"/>
  <c r="AE17" i="31"/>
  <c r="AM12" i="31"/>
  <c r="AE14" i="31"/>
  <c r="AE62" i="31"/>
  <c r="AP14" i="31"/>
  <c r="AP58" i="31" s="1"/>
  <c r="AI17" i="47" s="1"/>
  <c r="AP62" i="31"/>
  <c r="AQ14" i="31"/>
  <c r="AQ58" i="31" s="1"/>
  <c r="AJ17" i="47" s="1"/>
  <c r="AQ62" i="31"/>
  <c r="AE57" i="31"/>
  <c r="AM54" i="31"/>
  <c r="AM57" i="31" s="1"/>
  <c r="AE53" i="31"/>
  <c r="AM52" i="31"/>
  <c r="AM53" i="31" s="1"/>
  <c r="AB58" i="31"/>
  <c r="U17" i="47" s="1"/>
  <c r="AA58" i="31"/>
  <c r="T17" i="47" s="1"/>
  <c r="AC58" i="31"/>
  <c r="V17" i="47" s="1"/>
  <c r="AM75" i="30"/>
  <c r="AM79" i="30" s="1"/>
  <c r="AE79" i="30"/>
  <c r="AM70" i="30"/>
  <c r="AM74" i="30" s="1"/>
  <c r="AE74" i="30"/>
  <c r="AM67" i="30"/>
  <c r="AM69" i="30" s="1"/>
  <c r="AE69" i="30"/>
  <c r="AM63" i="30"/>
  <c r="AM66" i="30" s="1"/>
  <c r="AE66" i="30"/>
  <c r="AM60" i="30"/>
  <c r="AM62" i="30" s="1"/>
  <c r="AE62" i="30"/>
  <c r="AM56" i="30"/>
  <c r="AM59" i="30" s="1"/>
  <c r="AE59" i="30"/>
  <c r="AM53" i="30"/>
  <c r="AM55" i="30" s="1"/>
  <c r="AE55" i="30"/>
  <c r="AM48" i="30"/>
  <c r="AM52" i="30" s="1"/>
  <c r="AE52" i="30"/>
  <c r="AM44" i="30"/>
  <c r="AM47" i="30" s="1"/>
  <c r="AE47" i="30"/>
  <c r="AM41" i="30"/>
  <c r="AM43" i="30" s="1"/>
  <c r="AE43" i="30"/>
  <c r="AM35" i="30"/>
  <c r="AM40" i="30" s="1"/>
  <c r="AE40" i="30"/>
  <c r="AM31" i="30"/>
  <c r="AM87" i="30" s="1"/>
  <c r="AE87" i="30"/>
  <c r="AM30" i="30"/>
  <c r="AM34" i="30" s="1"/>
  <c r="AE34" i="30"/>
  <c r="AM28" i="30"/>
  <c r="AE29" i="30"/>
  <c r="AE92" i="30"/>
  <c r="AP29" i="30"/>
  <c r="AP92" i="30"/>
  <c r="AQ29" i="30"/>
  <c r="AQ92" i="30"/>
  <c r="AM23" i="30"/>
  <c r="AM27" i="30" s="1"/>
  <c r="AE27" i="30"/>
  <c r="AM20" i="30"/>
  <c r="AM91" i="30" s="1"/>
  <c r="AE91" i="30"/>
  <c r="AM17" i="30"/>
  <c r="AE22" i="30"/>
  <c r="AE85" i="30"/>
  <c r="AP85" i="30"/>
  <c r="AP22" i="30"/>
  <c r="AQ85" i="30"/>
  <c r="AQ22" i="30"/>
  <c r="AM15" i="30"/>
  <c r="AE16" i="30"/>
  <c r="AE93" i="30"/>
  <c r="AP16" i="30"/>
  <c r="AP93" i="30"/>
  <c r="AQ16" i="30"/>
  <c r="AQ93" i="30"/>
  <c r="AM12" i="30"/>
  <c r="AE14" i="30"/>
  <c r="AE84" i="30"/>
  <c r="AP14" i="30"/>
  <c r="AP80" i="30" s="1"/>
  <c r="AI16" i="47" s="1"/>
  <c r="AP84" i="30"/>
  <c r="AQ14" i="30"/>
  <c r="AQ84" i="30"/>
  <c r="AN80" i="30"/>
  <c r="AM146" i="29"/>
  <c r="AM151" i="29" s="1"/>
  <c r="AE151" i="29"/>
  <c r="AM142" i="29"/>
  <c r="AM145" i="29" s="1"/>
  <c r="AE145" i="29"/>
  <c r="AM139" i="29"/>
  <c r="AM141" i="29" s="1"/>
  <c r="AE141" i="29"/>
  <c r="AM135" i="29"/>
  <c r="AM159" i="29" s="1"/>
  <c r="AE159" i="29"/>
  <c r="AM134" i="29"/>
  <c r="AM138" i="29" s="1"/>
  <c r="AE138" i="29"/>
  <c r="AM131" i="29"/>
  <c r="AM133" i="29" s="1"/>
  <c r="AE133" i="29"/>
  <c r="AM127" i="29"/>
  <c r="AM130" i="29" s="1"/>
  <c r="AE130" i="29"/>
  <c r="AM124" i="29"/>
  <c r="AM126" i="29" s="1"/>
  <c r="AE126" i="29"/>
  <c r="AM119" i="29"/>
  <c r="AM123" i="29" s="1"/>
  <c r="AE123" i="29"/>
  <c r="AM113" i="29"/>
  <c r="AM118" i="29" s="1"/>
  <c r="AE118" i="29"/>
  <c r="AM111" i="29"/>
  <c r="AE112" i="29"/>
  <c r="AE164" i="29"/>
  <c r="AP112" i="29"/>
  <c r="AP164" i="29"/>
  <c r="AQ112" i="29"/>
  <c r="AQ164" i="29"/>
  <c r="AM106" i="29"/>
  <c r="AM110" i="29" s="1"/>
  <c r="AE110" i="29"/>
  <c r="AM102" i="29"/>
  <c r="AM105" i="29" s="1"/>
  <c r="AE105" i="29"/>
  <c r="AM97" i="29"/>
  <c r="AM101" i="29" s="1"/>
  <c r="AE101" i="29"/>
  <c r="AM92" i="29"/>
  <c r="AM96" i="29" s="1"/>
  <c r="AE96" i="29"/>
  <c r="AM65" i="29"/>
  <c r="AM66" i="29" s="1"/>
  <c r="AE66" i="29"/>
  <c r="AM61" i="29"/>
  <c r="AM64" i="29" s="1"/>
  <c r="AE64" i="29"/>
  <c r="AM58" i="29"/>
  <c r="AM60" i="29" s="1"/>
  <c r="AE60" i="29"/>
  <c r="AM87" i="29"/>
  <c r="AM91" i="29" s="1"/>
  <c r="AE91" i="29"/>
  <c r="AM82" i="29"/>
  <c r="AM86" i="29" s="1"/>
  <c r="AE86" i="29"/>
  <c r="AM77" i="29"/>
  <c r="AM81" i="29" s="1"/>
  <c r="AE81" i="29"/>
  <c r="AM72" i="29"/>
  <c r="AM76" i="29" s="1"/>
  <c r="AE76" i="29"/>
  <c r="AM70" i="29"/>
  <c r="AM163" i="29" s="1"/>
  <c r="AE163" i="29"/>
  <c r="AM67" i="29"/>
  <c r="AE71" i="29"/>
  <c r="AE157" i="29"/>
  <c r="AP71" i="29"/>
  <c r="AP157" i="29"/>
  <c r="AQ71" i="29"/>
  <c r="AQ157" i="29"/>
  <c r="AM55" i="29"/>
  <c r="AM57" i="29" s="1"/>
  <c r="AE57" i="29"/>
  <c r="AM52" i="29"/>
  <c r="AM54" i="29" s="1"/>
  <c r="AE54" i="29"/>
  <c r="AM49" i="29"/>
  <c r="AM51" i="29" s="1"/>
  <c r="AE51" i="29"/>
  <c r="AM46" i="29"/>
  <c r="AM48" i="29" s="1"/>
  <c r="AE48" i="29"/>
  <c r="AM43" i="29"/>
  <c r="AM45" i="29" s="1"/>
  <c r="AE45" i="29"/>
  <c r="AM40" i="29"/>
  <c r="AM42" i="29" s="1"/>
  <c r="AE42" i="29"/>
  <c r="AM37" i="29"/>
  <c r="AM39" i="29" s="1"/>
  <c r="AE39" i="29"/>
  <c r="AM34" i="29"/>
  <c r="AM36" i="29" s="1"/>
  <c r="AE36" i="29"/>
  <c r="AM31" i="29"/>
  <c r="AM33" i="29" s="1"/>
  <c r="AE33" i="29"/>
  <c r="AM28" i="29"/>
  <c r="AM30" i="29" s="1"/>
  <c r="AE30" i="29"/>
  <c r="AM26" i="29"/>
  <c r="AM27" i="29" s="1"/>
  <c r="AE27" i="29"/>
  <c r="AM23" i="29"/>
  <c r="AM25" i="29" s="1"/>
  <c r="AE25" i="29"/>
  <c r="AM20" i="29"/>
  <c r="AM22" i="29" s="1"/>
  <c r="AE22" i="29"/>
  <c r="AM17" i="29"/>
  <c r="AM19" i="29" s="1"/>
  <c r="AE19" i="29"/>
  <c r="AM14" i="29"/>
  <c r="AE16" i="29"/>
  <c r="AE156" i="29"/>
  <c r="AP16" i="29"/>
  <c r="AP156" i="29"/>
  <c r="AQ16" i="29"/>
  <c r="AQ156" i="29"/>
  <c r="AM12" i="29"/>
  <c r="AE13" i="29"/>
  <c r="AE165" i="29"/>
  <c r="AP13" i="29"/>
  <c r="AP165" i="29"/>
  <c r="AQ13" i="29"/>
  <c r="AQ165" i="29"/>
  <c r="AC155" i="29"/>
  <c r="AB155" i="29"/>
  <c r="AN152" i="29"/>
  <c r="AG15" i="47" s="1"/>
  <c r="AN155" i="29"/>
  <c r="AA155" i="29"/>
  <c r="AP152" i="42" l="1"/>
  <c r="AI22" i="47" s="1"/>
  <c r="AM158" i="42"/>
  <c r="AM33" i="41"/>
  <c r="AP130" i="40"/>
  <c r="AI20" i="47" s="1"/>
  <c r="AE154" i="42"/>
  <c r="AM115" i="41"/>
  <c r="AM51" i="40"/>
  <c r="AQ97" i="39"/>
  <c r="AJ19" i="47" s="1"/>
  <c r="AE227" i="32"/>
  <c r="AQ80" i="30"/>
  <c r="AJ16" i="47" s="1"/>
  <c r="AE80" i="30"/>
  <c r="X16" i="47" s="1"/>
  <c r="AE60" i="31"/>
  <c r="AM153" i="42"/>
  <c r="AG22" i="47"/>
  <c r="AE155" i="42"/>
  <c r="AQ155" i="42"/>
  <c r="AP155" i="42"/>
  <c r="AM154" i="42" s="1"/>
  <c r="AE110" i="41"/>
  <c r="AQ111" i="41"/>
  <c r="AP111" i="41"/>
  <c r="AE132" i="40"/>
  <c r="AQ133" i="40"/>
  <c r="AP133" i="40"/>
  <c r="AE133" i="40"/>
  <c r="AP97" i="39"/>
  <c r="AI19" i="47" s="1"/>
  <c r="AQ61" i="31"/>
  <c r="AP61" i="31"/>
  <c r="AM60" i="31" s="1"/>
  <c r="AE61" i="31"/>
  <c r="AG16" i="47"/>
  <c r="AQ83" i="30"/>
  <c r="AP83" i="30"/>
  <c r="AE83" i="30"/>
  <c r="AE81" i="30"/>
  <c r="AE153" i="29"/>
  <c r="AE154" i="29"/>
  <c r="AM64" i="42"/>
  <c r="AM164" i="42"/>
  <c r="AM52" i="42"/>
  <c r="AM159" i="42"/>
  <c r="AM43" i="42"/>
  <c r="AM157" i="42"/>
  <c r="AM38" i="42"/>
  <c r="AM165" i="42"/>
  <c r="AM19" i="42"/>
  <c r="AM156" i="42"/>
  <c r="AE153" i="42"/>
  <c r="AE152" i="42"/>
  <c r="X22" i="47" s="1"/>
  <c r="AM28" i="41"/>
  <c r="AM120" i="41"/>
  <c r="AM20" i="41"/>
  <c r="AM113" i="41"/>
  <c r="AM15" i="41"/>
  <c r="AM112" i="41"/>
  <c r="AE111" i="41"/>
  <c r="AE108" i="41"/>
  <c r="X21" i="47" s="1"/>
  <c r="AP108" i="41"/>
  <c r="AI21" i="47" s="1"/>
  <c r="AQ108" i="41"/>
  <c r="AJ21" i="47" s="1"/>
  <c r="AM83" i="41"/>
  <c r="AE109" i="41"/>
  <c r="AM46" i="40"/>
  <c r="AM142" i="40"/>
  <c r="AM33" i="40"/>
  <c r="AM136" i="40"/>
  <c r="AM28" i="40"/>
  <c r="AM135" i="40"/>
  <c r="AM22" i="40"/>
  <c r="AM143" i="40"/>
  <c r="AM14" i="40"/>
  <c r="AM134" i="40"/>
  <c r="AE130" i="40"/>
  <c r="X20" i="47" s="1"/>
  <c r="AE131" i="40"/>
  <c r="AM37" i="39"/>
  <c r="AM109" i="39"/>
  <c r="AM35" i="39"/>
  <c r="AM103" i="39"/>
  <c r="AM25" i="39"/>
  <c r="AM104" i="39"/>
  <c r="AM21" i="39"/>
  <c r="AM102" i="39"/>
  <c r="AM17" i="39"/>
  <c r="AM101" i="39"/>
  <c r="AM13" i="39"/>
  <c r="AM110" i="39"/>
  <c r="AE100" i="39"/>
  <c r="AP100" i="39"/>
  <c r="AE99" i="39"/>
  <c r="AE97" i="39"/>
  <c r="X19" i="47" s="1"/>
  <c r="AE98" i="39"/>
  <c r="AQ100" i="39"/>
  <c r="AM89" i="32"/>
  <c r="AM237" i="32"/>
  <c r="AM16" i="32"/>
  <c r="AM229" i="32"/>
  <c r="AM13" i="32"/>
  <c r="AM238" i="32"/>
  <c r="AE225" i="32"/>
  <c r="X18" i="47" s="1"/>
  <c r="AM87" i="32"/>
  <c r="AE228" i="32"/>
  <c r="AE226" i="32"/>
  <c r="AM226" i="32"/>
  <c r="AP228" i="32"/>
  <c r="AQ228" i="32"/>
  <c r="AM34" i="31"/>
  <c r="AM70" i="31"/>
  <c r="AM27" i="31"/>
  <c r="AM63" i="31"/>
  <c r="AM22" i="31"/>
  <c r="AM71" i="31"/>
  <c r="AM14" i="31"/>
  <c r="AM58" i="31" s="1"/>
  <c r="AF17" i="47" s="1"/>
  <c r="AM62" i="31"/>
  <c r="AE59" i="31"/>
  <c r="AM59" i="31"/>
  <c r="AE58" i="31"/>
  <c r="X17" i="47" s="1"/>
  <c r="AM29" i="30"/>
  <c r="AM92" i="30"/>
  <c r="AM22" i="30"/>
  <c r="AM85" i="30"/>
  <c r="AM16" i="30"/>
  <c r="AM93" i="30"/>
  <c r="AM14" i="30"/>
  <c r="AM84" i="30"/>
  <c r="AM112" i="29"/>
  <c r="AM164" i="29"/>
  <c r="AM71" i="29"/>
  <c r="AM157" i="29"/>
  <c r="AM16" i="29"/>
  <c r="AM156" i="29"/>
  <c r="AM13" i="29"/>
  <c r="AM152" i="29" s="1"/>
  <c r="AF15" i="47" s="1"/>
  <c r="AM165" i="29"/>
  <c r="AE155" i="29"/>
  <c r="AP155" i="29"/>
  <c r="AQ155" i="29"/>
  <c r="AE152" i="29"/>
  <c r="X15" i="47" s="1"/>
  <c r="AP152" i="29"/>
  <c r="AQ152" i="29"/>
  <c r="AJ15" i="47" s="1"/>
  <c r="AM152" i="42" l="1"/>
  <c r="AF22" i="47" s="1"/>
  <c r="AM131" i="40"/>
  <c r="AM110" i="41"/>
  <c r="AM130" i="40"/>
  <c r="AF20" i="47" s="1"/>
  <c r="AM111" i="41"/>
  <c r="AM132" i="40"/>
  <c r="AM97" i="39"/>
  <c r="AF19" i="47" s="1"/>
  <c r="AM82" i="30"/>
  <c r="AM81" i="30"/>
  <c r="AM155" i="42"/>
  <c r="AM133" i="40"/>
  <c r="AM98" i="39"/>
  <c r="AM61" i="31"/>
  <c r="AM80" i="30"/>
  <c r="AF16" i="47" s="1"/>
  <c r="AM155" i="29"/>
  <c r="AM153" i="29"/>
  <c r="AI15" i="47"/>
  <c r="AM108" i="41"/>
  <c r="AF21" i="47" s="1"/>
  <c r="AM109" i="41"/>
  <c r="AM100" i="39"/>
  <c r="AM99" i="39"/>
  <c r="AM227" i="32"/>
  <c r="AM228" i="32"/>
  <c r="AM225" i="32"/>
  <c r="AF18" i="47" s="1"/>
  <c r="AM83" i="30"/>
  <c r="AM154" i="29"/>
  <c r="AR218" i="48" l="1"/>
  <c r="AL218" i="48"/>
  <c r="AS218" i="48" s="1"/>
  <c r="Z218" i="48"/>
  <c r="AO218" i="48" s="1"/>
  <c r="V218" i="48"/>
  <c r="AR375" i="48"/>
  <c r="AR376" i="48"/>
  <c r="AR377" i="48"/>
  <c r="AD102" i="44"/>
  <c r="AD97" i="44"/>
  <c r="AD89" i="44"/>
  <c r="AD87" i="44"/>
  <c r="AD81" i="44"/>
  <c r="AD79" i="44"/>
  <c r="AD76" i="44"/>
  <c r="AD71" i="44"/>
  <c r="AD68" i="44"/>
  <c r="AD65" i="44"/>
  <c r="AD60" i="44"/>
  <c r="AD55" i="44"/>
  <c r="AD49" i="44"/>
  <c r="AD44" i="44"/>
  <c r="AD39" i="44"/>
  <c r="AD34" i="44"/>
  <c r="AD29" i="44"/>
  <c r="AD24" i="44"/>
  <c r="AD16" i="44"/>
  <c r="AD107" i="44"/>
  <c r="AD108" i="44"/>
  <c r="AD109" i="44"/>
  <c r="AD110" i="44"/>
  <c r="AD111" i="44"/>
  <c r="AD112" i="44"/>
  <c r="AD113" i="44"/>
  <c r="AD114" i="44"/>
  <c r="AD115" i="44"/>
  <c r="AD116" i="44"/>
  <c r="AR111" i="44"/>
  <c r="AK31" i="47" s="1"/>
  <c r="AR112" i="44"/>
  <c r="AK32" i="47" s="1"/>
  <c r="AR113" i="44"/>
  <c r="AK33" i="47" s="1"/>
  <c r="AR13" i="44"/>
  <c r="AR14" i="44"/>
  <c r="AR15" i="44"/>
  <c r="AR17" i="44"/>
  <c r="AR18" i="44"/>
  <c r="AR19" i="44"/>
  <c r="AR20" i="44"/>
  <c r="AR21" i="44"/>
  <c r="AR22" i="44"/>
  <c r="AR23" i="44"/>
  <c r="AR25" i="44"/>
  <c r="AR26" i="44"/>
  <c r="AR27" i="44"/>
  <c r="AR28" i="44"/>
  <c r="AR30" i="44"/>
  <c r="AR31" i="44"/>
  <c r="AR32" i="44"/>
  <c r="AR33" i="44"/>
  <c r="AR35" i="44"/>
  <c r="AR36" i="44"/>
  <c r="AR37" i="44"/>
  <c r="AR38" i="44"/>
  <c r="AR40" i="44"/>
  <c r="AR41" i="44"/>
  <c r="AR42" i="44"/>
  <c r="AR43" i="44"/>
  <c r="AR45" i="44"/>
  <c r="AR46" i="44"/>
  <c r="AR47" i="44"/>
  <c r="AR48" i="44"/>
  <c r="AR50" i="44"/>
  <c r="AR51" i="44"/>
  <c r="AR52" i="44"/>
  <c r="AR53" i="44"/>
  <c r="AR54" i="44"/>
  <c r="AR56" i="44"/>
  <c r="AR57" i="44"/>
  <c r="AR58" i="44"/>
  <c r="AR59" i="44"/>
  <c r="AR61" i="44"/>
  <c r="AR62" i="44"/>
  <c r="AR63" i="44"/>
  <c r="AR64" i="44"/>
  <c r="AR66" i="44"/>
  <c r="AR67" i="44"/>
  <c r="AR69" i="44"/>
  <c r="AR70" i="44"/>
  <c r="AR72" i="44"/>
  <c r="AR73" i="44"/>
  <c r="AR74" i="44"/>
  <c r="AR75" i="44"/>
  <c r="AR77" i="44"/>
  <c r="AR78" i="44"/>
  <c r="AR80" i="44"/>
  <c r="AR81" i="44" s="1"/>
  <c r="AR82" i="44"/>
  <c r="AR83" i="44"/>
  <c r="AR84" i="44"/>
  <c r="AR85" i="44"/>
  <c r="AR86" i="44"/>
  <c r="AR88" i="44"/>
  <c r="AR89" i="44" s="1"/>
  <c r="AR90" i="44"/>
  <c r="AR91" i="44"/>
  <c r="AR92" i="44"/>
  <c r="AR93" i="44"/>
  <c r="AR94" i="44"/>
  <c r="AR95" i="44"/>
  <c r="AR96" i="44"/>
  <c r="AR98" i="44"/>
  <c r="AR99" i="44"/>
  <c r="AR100" i="44"/>
  <c r="AR101" i="44"/>
  <c r="AR12" i="44"/>
  <c r="N107" i="44"/>
  <c r="N108" i="44"/>
  <c r="N109" i="44"/>
  <c r="N110" i="44"/>
  <c r="N111" i="44"/>
  <c r="N112" i="44"/>
  <c r="N113" i="44"/>
  <c r="N114" i="44"/>
  <c r="N115" i="44"/>
  <c r="N116" i="44"/>
  <c r="AR14" i="48"/>
  <c r="AR15" i="48"/>
  <c r="AR16" i="48"/>
  <c r="AR18" i="48"/>
  <c r="AR19" i="48"/>
  <c r="AR21" i="48"/>
  <c r="AR22" i="48"/>
  <c r="AR23" i="48"/>
  <c r="AR25" i="48"/>
  <c r="AR26" i="48"/>
  <c r="AR28" i="48"/>
  <c r="AR29" i="48"/>
  <c r="AR31" i="48"/>
  <c r="AR32" i="48"/>
  <c r="AR34" i="48"/>
  <c r="AR35" i="48"/>
  <c r="AR37" i="48"/>
  <c r="AR38" i="48"/>
  <c r="AR40" i="48"/>
  <c r="AR41" i="48" s="1"/>
  <c r="AR42" i="48"/>
  <c r="AR43" i="48" s="1"/>
  <c r="AR44" i="48"/>
  <c r="AR45" i="48" s="1"/>
  <c r="AR46" i="48"/>
  <c r="AR47" i="48"/>
  <c r="AR49" i="48"/>
  <c r="AR50" i="48"/>
  <c r="AR52" i="48"/>
  <c r="AR53" i="48"/>
  <c r="AR55" i="48"/>
  <c r="AR56" i="48" s="1"/>
  <c r="AR57" i="48"/>
  <c r="AR58" i="48"/>
  <c r="AR59" i="48"/>
  <c r="AR61" i="48"/>
  <c r="AR62" i="48"/>
  <c r="AR64" i="48"/>
  <c r="AR65" i="48"/>
  <c r="AR67" i="48"/>
  <c r="AR68" i="48"/>
  <c r="AR70" i="48"/>
  <c r="AR71" i="48"/>
  <c r="AR73" i="48"/>
  <c r="AR74" i="48"/>
  <c r="AR76" i="48"/>
  <c r="AR77" i="48"/>
  <c r="AR79" i="48"/>
  <c r="AR80" i="48"/>
  <c r="AR82" i="48"/>
  <c r="AR83" i="48" s="1"/>
  <c r="AR84" i="48"/>
  <c r="AR85" i="48"/>
  <c r="AR87" i="48"/>
  <c r="AR88" i="48"/>
  <c r="AR90" i="48"/>
  <c r="AR91" i="48" s="1"/>
  <c r="AR92" i="48"/>
  <c r="AR93" i="48"/>
  <c r="AR95" i="48"/>
  <c r="AR96" i="48"/>
  <c r="AR97" i="48"/>
  <c r="AR99" i="48"/>
  <c r="AR100" i="48"/>
  <c r="AR101" i="48"/>
  <c r="AR102" i="48"/>
  <c r="AR103" i="48"/>
  <c r="AR105" i="48"/>
  <c r="AR106" i="48"/>
  <c r="AR107" i="48"/>
  <c r="AR108" i="48"/>
  <c r="AR109" i="48"/>
  <c r="AR111" i="48"/>
  <c r="AR112" i="48"/>
  <c r="AR113" i="48"/>
  <c r="AR114" i="48"/>
  <c r="AR116" i="48"/>
  <c r="AR117" i="48"/>
  <c r="AR118" i="48"/>
  <c r="AR119" i="48"/>
  <c r="AR121" i="48"/>
  <c r="AR122" i="48"/>
  <c r="AR123" i="48"/>
  <c r="AR124" i="48"/>
  <c r="AR126" i="48"/>
  <c r="AR127" i="48"/>
  <c r="AR128" i="48"/>
  <c r="AR129" i="48"/>
  <c r="AR131" i="48"/>
  <c r="AR132" i="48"/>
  <c r="AR133" i="48"/>
  <c r="AR134" i="48"/>
  <c r="AR136" i="48"/>
  <c r="AR137" i="48"/>
  <c r="AR138" i="48"/>
  <c r="AR139" i="48"/>
  <c r="AR140" i="48"/>
  <c r="AR142" i="48"/>
  <c r="AR143" i="48"/>
  <c r="AR144" i="48"/>
  <c r="AR145" i="48"/>
  <c r="AR147" i="48"/>
  <c r="AR148" i="48"/>
  <c r="AR149" i="48"/>
  <c r="AR150" i="48"/>
  <c r="AR151" i="48"/>
  <c r="AR153" i="48"/>
  <c r="AR154" i="48"/>
  <c r="AR155" i="48"/>
  <c r="AR156" i="48"/>
  <c r="AR157" i="48"/>
  <c r="AR159" i="48"/>
  <c r="AR160" i="48"/>
  <c r="AR161" i="48"/>
  <c r="AR162" i="48"/>
  <c r="AR164" i="48"/>
  <c r="AR165" i="48"/>
  <c r="AR166" i="48"/>
  <c r="AR168" i="48"/>
  <c r="AR170" i="48"/>
  <c r="AR171" i="48"/>
  <c r="AR172" i="48"/>
  <c r="AR174" i="48"/>
  <c r="AR175" i="48"/>
  <c r="AR176" i="48"/>
  <c r="AR177" i="48"/>
  <c r="AR179" i="48"/>
  <c r="AR180" i="48"/>
  <c r="AR181" i="48"/>
  <c r="AR182" i="48"/>
  <c r="AR184" i="48"/>
  <c r="AR185" i="48"/>
  <c r="AR186" i="48"/>
  <c r="AR187" i="48"/>
  <c r="AR189" i="48"/>
  <c r="AR190" i="48"/>
  <c r="AR191" i="48"/>
  <c r="AR192" i="48"/>
  <c r="AR194" i="48"/>
  <c r="AR195" i="48"/>
  <c r="AR196" i="48"/>
  <c r="AR197" i="48"/>
  <c r="AR199" i="48"/>
  <c r="AR200" i="48"/>
  <c r="AR201" i="48"/>
  <c r="AR202" i="48"/>
  <c r="AR204" i="48"/>
  <c r="AR205" i="48"/>
  <c r="AR206" i="48"/>
  <c r="AR207" i="48"/>
  <c r="AR209" i="48"/>
  <c r="AR210" i="48" s="1"/>
  <c r="AR211" i="48"/>
  <c r="AR212" i="48"/>
  <c r="AR214" i="48"/>
  <c r="AR215" i="48"/>
  <c r="AR217" i="48"/>
  <c r="AR219" i="48"/>
  <c r="AR220" i="48"/>
  <c r="AR222" i="48"/>
  <c r="AR223" i="48"/>
  <c r="AR225" i="48"/>
  <c r="AR226" i="48"/>
  <c r="AR227" i="48"/>
  <c r="AR228" i="48"/>
  <c r="AR230" i="48"/>
  <c r="AR231" i="48"/>
  <c r="AR232" i="48"/>
  <c r="AR234" i="48"/>
  <c r="AR235" i="48"/>
  <c r="AR236" i="48"/>
  <c r="AR237" i="48"/>
  <c r="AR238" i="48"/>
  <c r="AR239" i="48"/>
  <c r="AR241" i="48"/>
  <c r="AR243" i="48"/>
  <c r="AR244" i="48"/>
  <c r="AR245" i="48"/>
  <c r="AR246" i="48"/>
  <c r="AR248" i="48"/>
  <c r="AR249" i="48"/>
  <c r="AR250" i="48"/>
  <c r="AR251" i="48"/>
  <c r="AR253" i="48"/>
  <c r="AR254" i="48"/>
  <c r="AR256" i="48"/>
  <c r="AR257" i="48"/>
  <c r="AR258" i="48"/>
  <c r="AR260" i="48"/>
  <c r="AR261" i="48" s="1"/>
  <c r="AR262" i="48"/>
  <c r="AR263" i="48"/>
  <c r="AR265" i="48"/>
  <c r="AR266" i="48"/>
  <c r="AR268" i="48"/>
  <c r="AR269" i="48"/>
  <c r="AR271" i="48"/>
  <c r="AR272" i="48"/>
  <c r="AR273" i="48"/>
  <c r="AR274" i="48"/>
  <c r="AR275" i="48"/>
  <c r="AR276" i="48"/>
  <c r="AR278" i="48"/>
  <c r="AR279" i="48"/>
  <c r="AR280" i="48"/>
  <c r="AR282" i="48"/>
  <c r="AR283" i="48"/>
  <c r="AR284" i="48"/>
  <c r="AR285" i="48"/>
  <c r="AR286" i="48"/>
  <c r="AR288" i="48"/>
  <c r="AR289" i="48"/>
  <c r="AR290" i="48"/>
  <c r="AR291" i="48"/>
  <c r="AR293" i="48"/>
  <c r="AR294" i="48"/>
  <c r="AR295" i="48"/>
  <c r="AR296" i="48"/>
  <c r="AR298" i="48"/>
  <c r="AR299" i="48"/>
  <c r="AR301" i="48"/>
  <c r="AR302" i="48"/>
  <c r="AR303" i="48"/>
  <c r="AR304" i="48"/>
  <c r="AR306" i="48"/>
  <c r="AR307" i="48"/>
  <c r="AR308" i="48"/>
  <c r="AR309" i="48"/>
  <c r="AR311" i="48"/>
  <c r="AR312" i="48"/>
  <c r="AR314" i="48"/>
  <c r="AR315" i="48"/>
  <c r="AR316" i="48"/>
  <c r="AR317" i="48"/>
  <c r="AR318" i="48"/>
  <c r="AR320" i="48"/>
  <c r="AR321" i="48"/>
  <c r="AR322" i="48"/>
  <c r="AR323" i="48"/>
  <c r="AR325" i="48"/>
  <c r="AR326" i="48"/>
  <c r="AR327" i="48"/>
  <c r="AR328" i="48"/>
  <c r="AR330" i="48"/>
  <c r="AR331" i="48"/>
  <c r="AR332" i="48"/>
  <c r="AR333" i="48"/>
  <c r="AR334" i="48"/>
  <c r="AR336" i="48"/>
  <c r="AR337" i="48"/>
  <c r="AR338" i="48"/>
  <c r="AR339" i="48"/>
  <c r="AR341" i="48"/>
  <c r="AR342" i="48"/>
  <c r="AR343" i="48"/>
  <c r="AR344" i="48"/>
  <c r="AR346" i="48"/>
  <c r="AR347" i="48"/>
  <c r="AR348" i="48"/>
  <c r="AR349" i="48"/>
  <c r="AR351" i="48"/>
  <c r="AR352" i="48"/>
  <c r="AR353" i="48"/>
  <c r="AR354" i="48"/>
  <c r="AR355" i="48"/>
  <c r="AR357" i="48"/>
  <c r="AR358" i="48"/>
  <c r="AR359" i="48"/>
  <c r="AR360" i="48"/>
  <c r="AR362" i="48"/>
  <c r="AR363" i="48" s="1"/>
  <c r="AR364" i="48"/>
  <c r="AR365" i="48"/>
  <c r="AR12" i="48"/>
  <c r="AD380" i="48"/>
  <c r="AD379" i="48"/>
  <c r="AD378" i="48"/>
  <c r="AD377" i="48"/>
  <c r="AD376" i="48"/>
  <c r="AD375" i="48"/>
  <c r="AD374" i="48"/>
  <c r="AD373" i="48"/>
  <c r="AD372" i="48"/>
  <c r="AD371" i="48"/>
  <c r="N371" i="48"/>
  <c r="N372" i="48"/>
  <c r="N373" i="48"/>
  <c r="N374" i="48"/>
  <c r="N375" i="48"/>
  <c r="N376" i="48"/>
  <c r="N377" i="48"/>
  <c r="N378" i="48"/>
  <c r="N379" i="48"/>
  <c r="N380" i="48"/>
  <c r="AL236" i="48"/>
  <c r="AS236" i="48" s="1"/>
  <c r="Z236" i="48"/>
  <c r="AO236" i="48" s="1"/>
  <c r="V236" i="48"/>
  <c r="AL149" i="48"/>
  <c r="AS149" i="48" s="1"/>
  <c r="Z149" i="48"/>
  <c r="AO149" i="48" s="1"/>
  <c r="V149" i="48"/>
  <c r="AL160" i="48"/>
  <c r="AS160" i="48" s="1"/>
  <c r="Z160" i="48"/>
  <c r="AO160" i="48" s="1"/>
  <c r="V160" i="48"/>
  <c r="AG13" i="48"/>
  <c r="AL154" i="48"/>
  <c r="AS154" i="48" s="1"/>
  <c r="AL175" i="48"/>
  <c r="AS175" i="48" s="1"/>
  <c r="AL180" i="48"/>
  <c r="AS180" i="48" s="1"/>
  <c r="AL185" i="48"/>
  <c r="AS185" i="48" s="1"/>
  <c r="AL190" i="48"/>
  <c r="AS190" i="48" s="1"/>
  <c r="AL195" i="48"/>
  <c r="AS195" i="48" s="1"/>
  <c r="AL307" i="48"/>
  <c r="AS307" i="48" s="1"/>
  <c r="Z307" i="48"/>
  <c r="AO307" i="48" s="1"/>
  <c r="AL353" i="48"/>
  <c r="AS353" i="48" s="1"/>
  <c r="Z353" i="48"/>
  <c r="AO353" i="48" s="1"/>
  <c r="AL332" i="48"/>
  <c r="AS332" i="48" s="1"/>
  <c r="Z332" i="48"/>
  <c r="AO332" i="48" s="1"/>
  <c r="V332" i="48"/>
  <c r="AL315" i="48"/>
  <c r="AS315" i="48" s="1"/>
  <c r="Z315" i="48"/>
  <c r="AO315" i="48" s="1"/>
  <c r="AL289" i="48"/>
  <c r="AS289" i="48" s="1"/>
  <c r="Z289" i="48"/>
  <c r="AO289" i="48" s="1"/>
  <c r="AL283" i="48"/>
  <c r="AS283" i="48" s="1"/>
  <c r="Z283" i="48"/>
  <c r="AO283" i="48" s="1"/>
  <c r="AL200" i="48"/>
  <c r="AS200" i="48" s="1"/>
  <c r="Z200" i="48"/>
  <c r="AO200" i="48" s="1"/>
  <c r="Z195" i="48"/>
  <c r="AO195" i="48" s="1"/>
  <c r="Z190" i="48"/>
  <c r="AO190" i="48" s="1"/>
  <c r="Z185" i="48"/>
  <c r="AO185" i="48" s="1"/>
  <c r="Z180" i="48"/>
  <c r="AO180" i="48" s="1"/>
  <c r="Z175" i="48"/>
  <c r="AO175" i="48" s="1"/>
  <c r="Z154" i="48"/>
  <c r="AO154" i="48" s="1"/>
  <c r="AL143" i="48"/>
  <c r="AS143" i="48" s="1"/>
  <c r="Z143" i="48"/>
  <c r="AO143" i="48" s="1"/>
  <c r="AL137" i="48"/>
  <c r="AS137" i="48" s="1"/>
  <c r="Z137" i="48"/>
  <c r="AO137" i="48" s="1"/>
  <c r="AL132" i="48"/>
  <c r="AS132" i="48" s="1"/>
  <c r="Z132" i="48"/>
  <c r="AO132" i="48" s="1"/>
  <c r="AL127" i="48"/>
  <c r="AS127" i="48" s="1"/>
  <c r="Z127" i="48"/>
  <c r="AO127" i="48" s="1"/>
  <c r="AL122" i="48"/>
  <c r="AS122" i="48" s="1"/>
  <c r="Z122" i="48"/>
  <c r="AO122" i="48" s="1"/>
  <c r="AL117" i="48"/>
  <c r="AS117" i="48" s="1"/>
  <c r="Z117" i="48"/>
  <c r="AO117" i="48" s="1"/>
  <c r="AL112" i="48"/>
  <c r="AS112" i="48" s="1"/>
  <c r="Z112" i="48"/>
  <c r="AO112" i="48" s="1"/>
  <c r="AL106" i="48"/>
  <c r="AS106" i="48" s="1"/>
  <c r="Z106" i="48"/>
  <c r="AO106" i="48" s="1"/>
  <c r="AL101" i="48"/>
  <c r="AS101" i="48" s="1"/>
  <c r="Z101" i="48"/>
  <c r="AO101" i="48" s="1"/>
  <c r="AL93" i="44"/>
  <c r="AS93" i="44" s="1"/>
  <c r="Z93" i="44"/>
  <c r="AO93" i="44" s="1"/>
  <c r="P93" i="44"/>
  <c r="AL84" i="44"/>
  <c r="AS84" i="44" s="1"/>
  <c r="Z84" i="44"/>
  <c r="AO84" i="44" s="1"/>
  <c r="P84" i="44"/>
  <c r="AL52" i="44"/>
  <c r="AS52" i="44" s="1"/>
  <c r="Z52" i="44"/>
  <c r="AO52" i="44" s="1"/>
  <c r="P52" i="44"/>
  <c r="AL19" i="44"/>
  <c r="AS19" i="44" s="1"/>
  <c r="Z19" i="44"/>
  <c r="AO19" i="44" s="1"/>
  <c r="P19" i="44"/>
  <c r="AA111" i="44"/>
  <c r="AA112" i="44"/>
  <c r="AA113" i="44"/>
  <c r="W36" i="47" l="1"/>
  <c r="W34" i="47"/>
  <c r="W35" i="47"/>
  <c r="W27" i="47"/>
  <c r="W28" i="47"/>
  <c r="W29" i="47"/>
  <c r="W30" i="47"/>
  <c r="W31" i="47"/>
  <c r="W32" i="47"/>
  <c r="W33" i="47"/>
  <c r="G27" i="47"/>
  <c r="G28" i="47"/>
  <c r="G29" i="47"/>
  <c r="G30" i="47"/>
  <c r="G31" i="47"/>
  <c r="G32" i="47"/>
  <c r="G33" i="47"/>
  <c r="G34" i="47"/>
  <c r="G35" i="47"/>
  <c r="G36" i="47"/>
  <c r="AR81" i="48"/>
  <c r="AR72" i="48"/>
  <c r="AR63" i="48"/>
  <c r="AR267" i="48"/>
  <c r="AR86" i="48"/>
  <c r="AR39" i="48"/>
  <c r="AR30" i="48"/>
  <c r="AR68" i="44"/>
  <c r="AR60" i="44"/>
  <c r="N103" i="44"/>
  <c r="G14" i="47" s="1"/>
  <c r="AR79" i="44"/>
  <c r="AR71" i="44"/>
  <c r="AR65" i="44"/>
  <c r="AR24" i="44"/>
  <c r="AD103" i="44"/>
  <c r="W14" i="47" s="1"/>
  <c r="AR49" i="44"/>
  <c r="AR34" i="44"/>
  <c r="AR102" i="44"/>
  <c r="AR97" i="44"/>
  <c r="AR87" i="44"/>
  <c r="AR55" i="44"/>
  <c r="AR39" i="44"/>
  <c r="AR76" i="44"/>
  <c r="AR44" i="44"/>
  <c r="AR29" i="44"/>
  <c r="AR264" i="48"/>
  <c r="AR255" i="48"/>
  <c r="AR54" i="48"/>
  <c r="AR259" i="48"/>
  <c r="AR252" i="48"/>
  <c r="AR75" i="48"/>
  <c r="AR48" i="48"/>
  <c r="AR20" i="48"/>
  <c r="AR36" i="48"/>
  <c r="AR27" i="48"/>
  <c r="AR33" i="48"/>
  <c r="AR17" i="48"/>
  <c r="AR98" i="48"/>
  <c r="AR51" i="48"/>
  <c r="AR24" i="48"/>
  <c r="AR110" i="48"/>
  <c r="AR60" i="48"/>
  <c r="AR69" i="48"/>
  <c r="AR78" i="48"/>
  <c r="AR89" i="48"/>
  <c r="AR94" i="48"/>
  <c r="AR66" i="48"/>
  <c r="AR104" i="48"/>
  <c r="AR371" i="48"/>
  <c r="AR270" i="48"/>
  <c r="AR300" i="48"/>
  <c r="AR305" i="48"/>
  <c r="AR310" i="48"/>
  <c r="AR313" i="48"/>
  <c r="AR319" i="48"/>
  <c r="AR324" i="48"/>
  <c r="AR329" i="48"/>
  <c r="AR335" i="48"/>
  <c r="AR340" i="48"/>
  <c r="AR345" i="48"/>
  <c r="AR350" i="48"/>
  <c r="AR356" i="48"/>
  <c r="AR361" i="48"/>
  <c r="AR366" i="48"/>
  <c r="AD370" i="48"/>
  <c r="AR372" i="48"/>
  <c r="AR373" i="48"/>
  <c r="AR374" i="48"/>
  <c r="AR378" i="48"/>
  <c r="AR242" i="48"/>
  <c r="AR379" i="48"/>
  <c r="AR380" i="48"/>
  <c r="AR13" i="48"/>
  <c r="AA218" i="48"/>
  <c r="AB218" i="48"/>
  <c r="AP218" i="48" s="1"/>
  <c r="AN218" i="48"/>
  <c r="AC218" i="48"/>
  <c r="AQ218" i="48" s="1"/>
  <c r="AR115" i="48"/>
  <c r="AR120" i="48"/>
  <c r="AR125" i="48"/>
  <c r="AR130" i="48"/>
  <c r="AR135" i="48"/>
  <c r="AR141" i="48"/>
  <c r="AR146" i="48"/>
  <c r="AR152" i="48"/>
  <c r="AR158" i="48"/>
  <c r="AR163" i="48"/>
  <c r="AR167" i="48"/>
  <c r="AR173" i="48"/>
  <c r="AR178" i="48"/>
  <c r="AR183" i="48"/>
  <c r="AR188" i="48"/>
  <c r="AR193" i="48"/>
  <c r="AR198" i="48"/>
  <c r="AR203" i="48"/>
  <c r="AR208" i="48"/>
  <c r="AR213" i="48"/>
  <c r="AR216" i="48"/>
  <c r="AR221" i="48"/>
  <c r="AR224" i="48"/>
  <c r="AR229" i="48"/>
  <c r="AR233" i="48"/>
  <c r="AR240" i="48"/>
  <c r="AR247" i="48"/>
  <c r="AR277" i="48"/>
  <c r="AR281" i="48"/>
  <c r="AR287" i="48"/>
  <c r="AR292" i="48"/>
  <c r="AR297" i="48"/>
  <c r="N370" i="48"/>
  <c r="AD367" i="48"/>
  <c r="W13" i="47" s="1"/>
  <c r="N367" i="48"/>
  <c r="G13" i="47" s="1"/>
  <c r="AR108" i="44"/>
  <c r="AR107" i="44"/>
  <c r="AR110" i="44"/>
  <c r="AR114" i="44"/>
  <c r="AR116" i="44"/>
  <c r="AR115" i="44"/>
  <c r="AR109" i="44"/>
  <c r="AR16" i="44"/>
  <c r="AD106" i="44"/>
  <c r="N106" i="44"/>
  <c r="AA236" i="48"/>
  <c r="AB236" i="48"/>
  <c r="AP236" i="48" s="1"/>
  <c r="AC236" i="48"/>
  <c r="AQ236" i="48" s="1"/>
  <c r="AN236" i="48"/>
  <c r="AA149" i="48"/>
  <c r="AB149" i="48"/>
  <c r="AP149" i="48" s="1"/>
  <c r="AC149" i="48"/>
  <c r="AQ149" i="48" s="1"/>
  <c r="AN149" i="48"/>
  <c r="AN160" i="48"/>
  <c r="AC160" i="48"/>
  <c r="AQ160" i="48" s="1"/>
  <c r="AB160" i="48"/>
  <c r="AP160" i="48" s="1"/>
  <c r="AA160" i="48"/>
  <c r="V307" i="48"/>
  <c r="V353" i="48"/>
  <c r="V315" i="48"/>
  <c r="V289" i="48"/>
  <c r="V283" i="48"/>
  <c r="AN283" i="48" s="1"/>
  <c r="V200" i="48"/>
  <c r="V195" i="48"/>
  <c r="V190" i="48"/>
  <c r="V185" i="48"/>
  <c r="AB185" i="48" s="1"/>
  <c r="AP185" i="48" s="1"/>
  <c r="V180" i="48"/>
  <c r="V175" i="48"/>
  <c r="V154" i="48"/>
  <c r="V143" i="48"/>
  <c r="V137" i="48"/>
  <c r="V132" i="48"/>
  <c r="V127" i="48"/>
  <c r="V122" i="48"/>
  <c r="V117" i="48"/>
  <c r="V112" i="48"/>
  <c r="V106" i="48"/>
  <c r="V101" i="48"/>
  <c r="V93" i="44"/>
  <c r="V84" i="44"/>
  <c r="V52" i="44"/>
  <c r="V19" i="44"/>
  <c r="AN332" i="48"/>
  <c r="AC332" i="48"/>
  <c r="AQ332" i="48" s="1"/>
  <c r="AB332" i="48"/>
  <c r="AP332" i="48" s="1"/>
  <c r="AA332" i="48"/>
  <c r="AK27" i="47" l="1"/>
  <c r="AK30" i="47"/>
  <c r="AK34" i="47"/>
  <c r="AK29" i="47"/>
  <c r="AK28" i="47"/>
  <c r="AK36" i="47"/>
  <c r="AK35" i="47"/>
  <c r="AE160" i="48"/>
  <c r="AE236" i="48"/>
  <c r="AE332" i="48"/>
  <c r="AM332" i="48" s="1"/>
  <c r="AE149" i="48"/>
  <c r="AE218" i="48"/>
  <c r="AR368" i="48"/>
  <c r="AR106" i="44"/>
  <c r="AR103" i="44"/>
  <c r="AK14" i="47" s="1"/>
  <c r="AR370" i="48"/>
  <c r="AR367" i="48"/>
  <c r="AK13" i="47" s="1"/>
  <c r="AC307" i="48"/>
  <c r="AQ307" i="48" s="1"/>
  <c r="AA307" i="48"/>
  <c r="AB283" i="48"/>
  <c r="AP283" i="48" s="1"/>
  <c r="AC283" i="48"/>
  <c r="AA283" i="48"/>
  <c r="AC353" i="48"/>
  <c r="AQ353" i="48" s="1"/>
  <c r="AN353" i="48"/>
  <c r="AB307" i="48"/>
  <c r="AN307" i="48"/>
  <c r="AC289" i="48"/>
  <c r="AQ289" i="48" s="1"/>
  <c r="AN289" i="48"/>
  <c r="AA353" i="48"/>
  <c r="AB353" i="48"/>
  <c r="AP353" i="48" s="1"/>
  <c r="AA289" i="48"/>
  <c r="AB289" i="48"/>
  <c r="AC315" i="48"/>
  <c r="AQ315" i="48" s="1"/>
  <c r="AN315" i="48"/>
  <c r="AA315" i="48"/>
  <c r="AB315" i="48"/>
  <c r="AB200" i="48"/>
  <c r="AP200" i="48" s="1"/>
  <c r="AN200" i="48"/>
  <c r="AC180" i="48"/>
  <c r="AQ180" i="48" s="1"/>
  <c r="AB180" i="48"/>
  <c r="AP180" i="48" s="1"/>
  <c r="AA84" i="44"/>
  <c r="AB84" i="44"/>
  <c r="AC84" i="44"/>
  <c r="AQ84" i="44" s="1"/>
  <c r="AN84" i="44"/>
  <c r="AA52" i="44"/>
  <c r="AB52" i="44"/>
  <c r="AP52" i="44" s="1"/>
  <c r="AC52" i="44"/>
  <c r="AQ52" i="44" s="1"/>
  <c r="AN52" i="44"/>
  <c r="AA19" i="44"/>
  <c r="AB19" i="44"/>
  <c r="AP19" i="44" s="1"/>
  <c r="AC19" i="44"/>
  <c r="AQ19" i="44" s="1"/>
  <c r="AN19" i="44"/>
  <c r="AB93" i="44"/>
  <c r="AP93" i="44" s="1"/>
  <c r="AN93" i="44"/>
  <c r="AC93" i="44"/>
  <c r="AQ93" i="44" s="1"/>
  <c r="AA93" i="44"/>
  <c r="AN180" i="48"/>
  <c r="AA180" i="48"/>
  <c r="AA185" i="48"/>
  <c r="AC185" i="48"/>
  <c r="AQ185" i="48" s="1"/>
  <c r="AN185" i="48"/>
  <c r="AA175" i="48"/>
  <c r="AB175" i="48"/>
  <c r="AP175" i="48" s="1"/>
  <c r="AC175" i="48"/>
  <c r="AQ175" i="48" s="1"/>
  <c r="AN175" i="48"/>
  <c r="AA154" i="48"/>
  <c r="AB154" i="48"/>
  <c r="AP154" i="48" s="1"/>
  <c r="AC154" i="48"/>
  <c r="AQ154" i="48" s="1"/>
  <c r="AN154" i="48"/>
  <c r="AA143" i="48"/>
  <c r="AB143" i="48"/>
  <c r="AP143" i="48" s="1"/>
  <c r="AA200" i="48"/>
  <c r="AC200" i="48"/>
  <c r="AQ200" i="48" s="1"/>
  <c r="AN195" i="48"/>
  <c r="AA195" i="48"/>
  <c r="AB195" i="48"/>
  <c r="AP195" i="48" s="1"/>
  <c r="AC195" i="48"/>
  <c r="AQ195" i="48" s="1"/>
  <c r="AB190" i="48"/>
  <c r="AP190" i="48" s="1"/>
  <c r="AN190" i="48"/>
  <c r="AA190" i="48"/>
  <c r="AC190" i="48"/>
  <c r="AQ190" i="48" s="1"/>
  <c r="AC143" i="48"/>
  <c r="AN143" i="48"/>
  <c r="AA137" i="48"/>
  <c r="AB137" i="48"/>
  <c r="AP137" i="48" s="1"/>
  <c r="AC137" i="48"/>
  <c r="AQ137" i="48" s="1"/>
  <c r="AN137" i="48"/>
  <c r="AA132" i="48"/>
  <c r="AB132" i="48"/>
  <c r="AP132" i="48" s="1"/>
  <c r="AC132" i="48"/>
  <c r="AQ132" i="48" s="1"/>
  <c r="AN132" i="48"/>
  <c r="AA127" i="48"/>
  <c r="AB127" i="48"/>
  <c r="AP127" i="48" s="1"/>
  <c r="AC127" i="48"/>
  <c r="AQ127" i="48" s="1"/>
  <c r="AN127" i="48"/>
  <c r="AA122" i="48"/>
  <c r="AN122" i="48"/>
  <c r="AB122" i="48"/>
  <c r="AP122" i="48" s="1"/>
  <c r="AC122" i="48"/>
  <c r="AQ122" i="48" s="1"/>
  <c r="AA117" i="48"/>
  <c r="AB117" i="48"/>
  <c r="AP117" i="48" s="1"/>
  <c r="AC117" i="48"/>
  <c r="AQ117" i="48" s="1"/>
  <c r="AN117" i="48"/>
  <c r="AB112" i="48"/>
  <c r="AP112" i="48" s="1"/>
  <c r="AC112" i="48"/>
  <c r="AQ112" i="48" s="1"/>
  <c r="AN112" i="48"/>
  <c r="AA112" i="48"/>
  <c r="AN106" i="48"/>
  <c r="AB106" i="48"/>
  <c r="AP106" i="48" s="1"/>
  <c r="AA106" i="48"/>
  <c r="AC106" i="48"/>
  <c r="AQ106" i="48" s="1"/>
  <c r="AA101" i="48"/>
  <c r="AB101" i="48"/>
  <c r="AP101" i="48" s="1"/>
  <c r="AC101" i="48"/>
  <c r="AQ101" i="48" s="1"/>
  <c r="AN101" i="48"/>
  <c r="AM236" i="48" l="1"/>
  <c r="AM218" i="48"/>
  <c r="AM160" i="48"/>
  <c r="AM149" i="48"/>
  <c r="AE122" i="48"/>
  <c r="AM122" i="48" s="1"/>
  <c r="AE112" i="48"/>
  <c r="AE180" i="48"/>
  <c r="AM180" i="48" s="1"/>
  <c r="AE283" i="48"/>
  <c r="AE289" i="48"/>
  <c r="AE307" i="48"/>
  <c r="AE200" i="48"/>
  <c r="AE185" i="48"/>
  <c r="AE353" i="48"/>
  <c r="AE117" i="48"/>
  <c r="AE132" i="48"/>
  <c r="AE143" i="48"/>
  <c r="AE195" i="48"/>
  <c r="AE137" i="48"/>
  <c r="AE154" i="48"/>
  <c r="AM154" i="48" s="1"/>
  <c r="AE315" i="48"/>
  <c r="AE101" i="48"/>
  <c r="AE106" i="48"/>
  <c r="AE127" i="48"/>
  <c r="AE190" i="48"/>
  <c r="AE175" i="48"/>
  <c r="AE52" i="44"/>
  <c r="AM52" i="44" s="1"/>
  <c r="AE84" i="44"/>
  <c r="AM84" i="44" s="1"/>
  <c r="AE19" i="44"/>
  <c r="AM19" i="44" s="1"/>
  <c r="AE93" i="44"/>
  <c r="AM93" i="44" s="1"/>
  <c r="AQ283" i="48"/>
  <c r="AP307" i="48"/>
  <c r="AP289" i="48"/>
  <c r="AP315" i="48"/>
  <c r="AP84" i="44"/>
  <c r="AQ143" i="48"/>
  <c r="Q107" i="44"/>
  <c r="Q108" i="44"/>
  <c r="Q109" i="44"/>
  <c r="Q110" i="44"/>
  <c r="Q111" i="44"/>
  <c r="Q112" i="44"/>
  <c r="Q113" i="44"/>
  <c r="Q114" i="44"/>
  <c r="Q115" i="44"/>
  <c r="Q116" i="44"/>
  <c r="AM143" i="48" l="1"/>
  <c r="AM307" i="48"/>
  <c r="AM117" i="48"/>
  <c r="AM283" i="48"/>
  <c r="AM175" i="48"/>
  <c r="AM353" i="48"/>
  <c r="AM112" i="48"/>
  <c r="AM315" i="48"/>
  <c r="AM190" i="48"/>
  <c r="AM137" i="48"/>
  <c r="AM185" i="48"/>
  <c r="AM289" i="48"/>
  <c r="AM127" i="48"/>
  <c r="AM195" i="48"/>
  <c r="AM200" i="48"/>
  <c r="AM106" i="48"/>
  <c r="AM101" i="48"/>
  <c r="AM132" i="48"/>
  <c r="Q103" i="44"/>
  <c r="J14" i="47" s="1"/>
  <c r="Q106" i="44"/>
  <c r="AL101" i="44" l="1"/>
  <c r="AS101" i="44" s="1"/>
  <c r="AL100" i="44"/>
  <c r="AS100" i="44" s="1"/>
  <c r="AL99" i="44"/>
  <c r="AS99" i="44" s="1"/>
  <c r="AL98" i="44"/>
  <c r="AS98" i="44" s="1"/>
  <c r="AL96" i="44"/>
  <c r="AS96" i="44" s="1"/>
  <c r="AL95" i="44"/>
  <c r="AS95" i="44" s="1"/>
  <c r="AL94" i="44"/>
  <c r="AS94" i="44" s="1"/>
  <c r="AL92" i="44"/>
  <c r="AS92" i="44" s="1"/>
  <c r="AL91" i="44"/>
  <c r="AS91" i="44" s="1"/>
  <c r="AL90" i="44"/>
  <c r="AS90" i="44" s="1"/>
  <c r="AL88" i="44"/>
  <c r="AS88" i="44" s="1"/>
  <c r="AL86" i="44"/>
  <c r="AS86" i="44" s="1"/>
  <c r="AL85" i="44"/>
  <c r="AS85" i="44" s="1"/>
  <c r="AL83" i="44"/>
  <c r="AS83" i="44" s="1"/>
  <c r="AL82" i="44"/>
  <c r="AS82" i="44" s="1"/>
  <c r="AL80" i="44"/>
  <c r="AS80" i="44" s="1"/>
  <c r="AL78" i="44"/>
  <c r="AS78" i="44" s="1"/>
  <c r="AL77" i="44"/>
  <c r="AS77" i="44" s="1"/>
  <c r="AL75" i="44"/>
  <c r="AS75" i="44" s="1"/>
  <c r="AL74" i="44"/>
  <c r="AS74" i="44" s="1"/>
  <c r="AL73" i="44"/>
  <c r="AS73" i="44" s="1"/>
  <c r="AL72" i="44"/>
  <c r="AS72" i="44" s="1"/>
  <c r="AL70" i="44"/>
  <c r="AS70" i="44" s="1"/>
  <c r="AL69" i="44"/>
  <c r="AS69" i="44" s="1"/>
  <c r="AL67" i="44"/>
  <c r="AS67" i="44" s="1"/>
  <c r="AL66" i="44"/>
  <c r="AS66" i="44" s="1"/>
  <c r="AL64" i="44"/>
  <c r="AS64" i="44" s="1"/>
  <c r="AL63" i="44"/>
  <c r="AS63" i="44" s="1"/>
  <c r="AL62" i="44"/>
  <c r="AS62" i="44" s="1"/>
  <c r="AL61" i="44"/>
  <c r="AS61" i="44" s="1"/>
  <c r="AL59" i="44"/>
  <c r="AS59" i="44" s="1"/>
  <c r="AL58" i="44"/>
  <c r="AS58" i="44" s="1"/>
  <c r="AL57" i="44"/>
  <c r="AS57" i="44" s="1"/>
  <c r="AL56" i="44"/>
  <c r="AS56" i="44" s="1"/>
  <c r="AL54" i="44"/>
  <c r="AS54" i="44" s="1"/>
  <c r="AL53" i="44"/>
  <c r="AS53" i="44" s="1"/>
  <c r="AL51" i="44"/>
  <c r="AS51" i="44" s="1"/>
  <c r="AL50" i="44"/>
  <c r="AS50" i="44" s="1"/>
  <c r="AL48" i="44"/>
  <c r="AS48" i="44" s="1"/>
  <c r="AL47" i="44"/>
  <c r="AS47" i="44" s="1"/>
  <c r="AL46" i="44"/>
  <c r="AS46" i="44" s="1"/>
  <c r="AL45" i="44"/>
  <c r="AS45" i="44" s="1"/>
  <c r="AL43" i="44"/>
  <c r="AS43" i="44" s="1"/>
  <c r="AL42" i="44"/>
  <c r="AS42" i="44" s="1"/>
  <c r="AL41" i="44"/>
  <c r="AS41" i="44" s="1"/>
  <c r="AL40" i="44"/>
  <c r="AS40" i="44" s="1"/>
  <c r="AL38" i="44"/>
  <c r="AS38" i="44" s="1"/>
  <c r="AL37" i="44"/>
  <c r="AS37" i="44" s="1"/>
  <c r="AL36" i="44"/>
  <c r="AS36" i="44" s="1"/>
  <c r="AL35" i="44"/>
  <c r="AS35" i="44" s="1"/>
  <c r="AL33" i="44"/>
  <c r="AS33" i="44" s="1"/>
  <c r="AL32" i="44"/>
  <c r="AS32" i="44" s="1"/>
  <c r="AL31" i="44"/>
  <c r="AS31" i="44" s="1"/>
  <c r="AL30" i="44"/>
  <c r="AS30" i="44" s="1"/>
  <c r="AL28" i="44"/>
  <c r="AS28" i="44" s="1"/>
  <c r="AL27" i="44"/>
  <c r="AS27" i="44" s="1"/>
  <c r="AL26" i="44"/>
  <c r="AS26" i="44" s="1"/>
  <c r="AL25" i="44"/>
  <c r="AS25" i="44" s="1"/>
  <c r="AL23" i="44"/>
  <c r="AS23" i="44" s="1"/>
  <c r="AL22" i="44"/>
  <c r="AS22" i="44" s="1"/>
  <c r="AL21" i="44"/>
  <c r="AS21" i="44" s="1"/>
  <c r="AL20" i="44"/>
  <c r="AS20" i="44" s="1"/>
  <c r="AL18" i="44"/>
  <c r="AS18" i="44" s="1"/>
  <c r="AL17" i="44"/>
  <c r="AS17" i="44" s="1"/>
  <c r="AL15" i="44"/>
  <c r="AS15" i="44" s="1"/>
  <c r="AL14" i="44"/>
  <c r="AS14" i="44" s="1"/>
  <c r="AL13" i="44"/>
  <c r="AS13" i="44" s="1"/>
  <c r="Z101" i="44"/>
  <c r="AO101" i="44" s="1"/>
  <c r="Z100" i="44"/>
  <c r="AO100" i="44" s="1"/>
  <c r="Z99" i="44"/>
  <c r="AO99" i="44" s="1"/>
  <c r="Z98" i="44"/>
  <c r="AO98" i="44" s="1"/>
  <c r="Z96" i="44"/>
  <c r="AO96" i="44" s="1"/>
  <c r="Z95" i="44"/>
  <c r="AO95" i="44" s="1"/>
  <c r="Z94" i="44"/>
  <c r="AO94" i="44" s="1"/>
  <c r="Z92" i="44"/>
  <c r="AO92" i="44" s="1"/>
  <c r="Z91" i="44"/>
  <c r="AO91" i="44" s="1"/>
  <c r="Z90" i="44"/>
  <c r="AO90" i="44" s="1"/>
  <c r="Z88" i="44"/>
  <c r="AO88" i="44" s="1"/>
  <c r="Z86" i="44"/>
  <c r="AO86" i="44" s="1"/>
  <c r="Z85" i="44"/>
  <c r="AO85" i="44" s="1"/>
  <c r="Z83" i="44"/>
  <c r="AO83" i="44" s="1"/>
  <c r="Z82" i="44"/>
  <c r="AO82" i="44" s="1"/>
  <c r="Z80" i="44"/>
  <c r="AO80" i="44" s="1"/>
  <c r="Z78" i="44"/>
  <c r="AO78" i="44" s="1"/>
  <c r="Z77" i="44"/>
  <c r="AO77" i="44" s="1"/>
  <c r="Z75" i="44"/>
  <c r="AO75" i="44" s="1"/>
  <c r="Z74" i="44"/>
  <c r="AO74" i="44" s="1"/>
  <c r="Z73" i="44"/>
  <c r="AO73" i="44" s="1"/>
  <c r="Z72" i="44"/>
  <c r="AO72" i="44" s="1"/>
  <c r="Z70" i="44"/>
  <c r="AO70" i="44" s="1"/>
  <c r="Z69" i="44"/>
  <c r="AO69" i="44" s="1"/>
  <c r="Z67" i="44"/>
  <c r="AO67" i="44" s="1"/>
  <c r="Z66" i="44"/>
  <c r="AO66" i="44" s="1"/>
  <c r="Z64" i="44"/>
  <c r="AO64" i="44" s="1"/>
  <c r="Z63" i="44"/>
  <c r="AO63" i="44" s="1"/>
  <c r="Z62" i="44"/>
  <c r="AO62" i="44" s="1"/>
  <c r="Z61" i="44"/>
  <c r="AO61" i="44" s="1"/>
  <c r="Z59" i="44"/>
  <c r="AO59" i="44" s="1"/>
  <c r="Z58" i="44"/>
  <c r="AO58" i="44" s="1"/>
  <c r="Z57" i="44"/>
  <c r="AO57" i="44" s="1"/>
  <c r="Z56" i="44"/>
  <c r="AO56" i="44" s="1"/>
  <c r="Z54" i="44"/>
  <c r="AO54" i="44" s="1"/>
  <c r="Z53" i="44"/>
  <c r="AO53" i="44" s="1"/>
  <c r="Z51" i="44"/>
  <c r="AO51" i="44" s="1"/>
  <c r="Z50" i="44"/>
  <c r="AO50" i="44" s="1"/>
  <c r="Z48" i="44"/>
  <c r="AO48" i="44" s="1"/>
  <c r="Z47" i="44"/>
  <c r="AO47" i="44" s="1"/>
  <c r="Z46" i="44"/>
  <c r="AO46" i="44" s="1"/>
  <c r="Z45" i="44"/>
  <c r="AO45" i="44" s="1"/>
  <c r="Z43" i="44"/>
  <c r="AO43" i="44" s="1"/>
  <c r="Z42" i="44"/>
  <c r="AO42" i="44" s="1"/>
  <c r="Z41" i="44"/>
  <c r="AO41" i="44" s="1"/>
  <c r="Z40" i="44"/>
  <c r="AO40" i="44" s="1"/>
  <c r="Z38" i="44"/>
  <c r="AO38" i="44" s="1"/>
  <c r="Z37" i="44"/>
  <c r="AO37" i="44" s="1"/>
  <c r="Z36" i="44"/>
  <c r="AO36" i="44" s="1"/>
  <c r="Z35" i="44"/>
  <c r="AO35" i="44" s="1"/>
  <c r="Z33" i="44"/>
  <c r="AO33" i="44" s="1"/>
  <c r="Z32" i="44"/>
  <c r="AO32" i="44" s="1"/>
  <c r="Z31" i="44"/>
  <c r="AO31" i="44" s="1"/>
  <c r="Z30" i="44"/>
  <c r="AO30" i="44" s="1"/>
  <c r="Z28" i="44"/>
  <c r="AO28" i="44" s="1"/>
  <c r="Z27" i="44"/>
  <c r="AO27" i="44" s="1"/>
  <c r="Z26" i="44"/>
  <c r="AO26" i="44" s="1"/>
  <c r="Z25" i="44"/>
  <c r="AO25" i="44" s="1"/>
  <c r="Z23" i="44"/>
  <c r="AO23" i="44" s="1"/>
  <c r="Z22" i="44"/>
  <c r="AO22" i="44" s="1"/>
  <c r="Z21" i="44"/>
  <c r="AO21" i="44" s="1"/>
  <c r="Z20" i="44"/>
  <c r="AO20" i="44" s="1"/>
  <c r="Z18" i="44"/>
  <c r="AO18" i="44" s="1"/>
  <c r="Z17" i="44"/>
  <c r="AO17" i="44" s="1"/>
  <c r="Z15" i="44"/>
  <c r="AO15" i="44" s="1"/>
  <c r="Z14" i="44"/>
  <c r="AO14" i="44" s="1"/>
  <c r="Z13" i="44"/>
  <c r="AO13" i="44" s="1"/>
  <c r="AL12" i="44"/>
  <c r="AS12" i="44" s="1"/>
  <c r="Z12" i="44"/>
  <c r="AO12" i="44" s="1"/>
  <c r="P12" i="44"/>
  <c r="V12" i="44" l="1"/>
  <c r="L103" i="44"/>
  <c r="E14" i="47" s="1"/>
  <c r="O103" i="44"/>
  <c r="H14" i="47" s="1"/>
  <c r="M103" i="44"/>
  <c r="F14" i="47" s="1"/>
  <c r="J103" i="44"/>
  <c r="C14" i="47" s="1"/>
  <c r="AL365" i="48"/>
  <c r="AL364" i="48"/>
  <c r="AL362" i="48"/>
  <c r="AL360" i="48"/>
  <c r="AL359" i="48"/>
  <c r="AL358" i="48"/>
  <c r="AL357" i="48"/>
  <c r="AL355" i="48"/>
  <c r="AL354" i="48"/>
  <c r="AL352" i="48"/>
  <c r="AL351" i="48"/>
  <c r="AL349" i="48"/>
  <c r="AL348" i="48"/>
  <c r="AL347" i="48"/>
  <c r="AL346" i="48"/>
  <c r="AL344" i="48"/>
  <c r="AL343" i="48"/>
  <c r="AL342" i="48"/>
  <c r="AL341" i="48"/>
  <c r="AL339" i="48"/>
  <c r="AL338" i="48"/>
  <c r="AL337" i="48"/>
  <c r="AL336" i="48"/>
  <c r="AL334" i="48"/>
  <c r="AL333" i="48"/>
  <c r="AL331" i="48"/>
  <c r="AL330" i="48"/>
  <c r="AL328" i="48"/>
  <c r="AL327" i="48"/>
  <c r="AL326" i="48"/>
  <c r="AL325" i="48"/>
  <c r="AL323" i="48"/>
  <c r="AL322" i="48"/>
  <c r="AL321" i="48"/>
  <c r="AL320" i="48"/>
  <c r="AL318" i="48"/>
  <c r="AL317" i="48"/>
  <c r="AL316" i="48"/>
  <c r="AL314" i="48"/>
  <c r="AL312" i="48"/>
  <c r="AL311" i="48"/>
  <c r="AL309" i="48"/>
  <c r="AL308" i="48"/>
  <c r="AL306" i="48"/>
  <c r="AL304" i="48"/>
  <c r="AL303" i="48"/>
  <c r="AL302" i="48"/>
  <c r="AL301" i="48"/>
  <c r="AL299" i="48"/>
  <c r="AL298" i="48"/>
  <c r="AL296" i="48"/>
  <c r="AL295" i="48"/>
  <c r="AL294" i="48"/>
  <c r="AL293" i="48"/>
  <c r="AL291" i="48"/>
  <c r="AL290" i="48"/>
  <c r="AL288" i="48"/>
  <c r="AL286" i="48"/>
  <c r="AL285" i="48"/>
  <c r="AL284" i="48"/>
  <c r="AL282" i="48"/>
  <c r="AL280" i="48"/>
  <c r="AL279" i="48"/>
  <c r="AL278" i="48"/>
  <c r="AL276" i="48"/>
  <c r="AL275" i="48"/>
  <c r="AL274" i="48"/>
  <c r="AL273" i="48"/>
  <c r="AL272" i="48"/>
  <c r="AL271" i="48"/>
  <c r="AL269" i="48"/>
  <c r="AL268" i="48"/>
  <c r="AL266" i="48"/>
  <c r="AL265" i="48"/>
  <c r="AL263" i="48"/>
  <c r="AL262" i="48"/>
  <c r="AL260" i="48"/>
  <c r="AL258" i="48"/>
  <c r="AL257" i="48"/>
  <c r="AL256" i="48"/>
  <c r="AL254" i="48"/>
  <c r="AL253" i="48"/>
  <c r="AL251" i="48"/>
  <c r="AL250" i="48"/>
  <c r="AL249" i="48"/>
  <c r="AL248" i="48"/>
  <c r="AL246" i="48"/>
  <c r="AL245" i="48"/>
  <c r="AL244" i="48"/>
  <c r="AL243" i="48"/>
  <c r="AL241" i="48"/>
  <c r="AL239" i="48"/>
  <c r="AL238" i="48"/>
  <c r="AL237" i="48"/>
  <c r="AL235" i="48"/>
  <c r="AL234" i="48"/>
  <c r="AL232" i="48"/>
  <c r="AL231" i="48"/>
  <c r="AL230" i="48"/>
  <c r="AL228" i="48"/>
  <c r="AL227" i="48"/>
  <c r="AL226" i="48"/>
  <c r="AL225" i="48"/>
  <c r="AL223" i="48"/>
  <c r="AL222" i="48"/>
  <c r="AL220" i="48"/>
  <c r="AL219" i="48"/>
  <c r="AL217" i="48"/>
  <c r="AL215" i="48"/>
  <c r="AL214" i="48"/>
  <c r="AL212" i="48"/>
  <c r="AL211" i="48"/>
  <c r="AL209" i="48"/>
  <c r="AL207" i="48"/>
  <c r="AL206" i="48"/>
  <c r="AL205" i="48"/>
  <c r="AL204" i="48"/>
  <c r="AL202" i="48"/>
  <c r="AL201" i="48"/>
  <c r="AL199" i="48"/>
  <c r="AL197" i="48"/>
  <c r="AL196" i="48"/>
  <c r="AL194" i="48"/>
  <c r="AL192" i="48"/>
  <c r="AL191" i="48"/>
  <c r="AL189" i="48"/>
  <c r="AL187" i="48"/>
  <c r="AL186" i="48"/>
  <c r="AL184" i="48"/>
  <c r="AL182" i="48"/>
  <c r="AL181" i="48"/>
  <c r="AL179" i="48"/>
  <c r="AL177" i="48"/>
  <c r="AL176" i="48"/>
  <c r="AL174" i="48"/>
  <c r="AL172" i="48"/>
  <c r="AL171" i="48"/>
  <c r="AL170" i="48"/>
  <c r="AL168" i="48"/>
  <c r="AL166" i="48"/>
  <c r="AL165" i="48"/>
  <c r="AL164" i="48"/>
  <c r="AL162" i="48"/>
  <c r="AL161" i="48"/>
  <c r="AL159" i="48"/>
  <c r="AL157" i="48"/>
  <c r="AL156" i="48"/>
  <c r="AL153" i="48"/>
  <c r="AL151" i="48"/>
  <c r="AL150" i="48"/>
  <c r="AL148" i="48"/>
  <c r="AL147" i="48"/>
  <c r="AL145" i="48"/>
  <c r="AL144" i="48"/>
  <c r="AL142" i="48"/>
  <c r="AL140" i="48"/>
  <c r="AL139" i="48"/>
  <c r="AL138" i="48"/>
  <c r="AL136" i="48"/>
  <c r="AL134" i="48"/>
  <c r="AL133" i="48"/>
  <c r="AL131" i="48"/>
  <c r="AL129" i="48"/>
  <c r="AL128" i="48"/>
  <c r="AL126" i="48"/>
  <c r="AL124" i="48"/>
  <c r="AL123" i="48"/>
  <c r="AL121" i="48"/>
  <c r="AL119" i="48"/>
  <c r="AL118" i="48"/>
  <c r="AL116" i="48"/>
  <c r="AL114" i="48"/>
  <c r="AL113" i="48"/>
  <c r="AL111" i="48"/>
  <c r="AL109" i="48"/>
  <c r="AL108" i="48"/>
  <c r="AL107" i="48"/>
  <c r="AL105" i="48"/>
  <c r="AL103" i="48"/>
  <c r="AL102" i="48"/>
  <c r="AL100" i="48"/>
  <c r="AL99" i="48"/>
  <c r="AL97" i="48"/>
  <c r="AL96" i="48"/>
  <c r="AL95" i="48"/>
  <c r="AL93" i="48"/>
  <c r="AL92" i="48"/>
  <c r="AL90" i="48"/>
  <c r="AL88" i="48"/>
  <c r="AL87" i="48"/>
  <c r="AL85" i="48"/>
  <c r="AL84" i="48"/>
  <c r="AL82" i="48"/>
  <c r="AL80" i="48"/>
  <c r="AL79" i="48"/>
  <c r="AL77" i="48"/>
  <c r="AL76" i="48"/>
  <c r="AL74" i="48"/>
  <c r="AL73" i="48"/>
  <c r="AL71" i="48"/>
  <c r="AL70" i="48"/>
  <c r="AL68" i="48"/>
  <c r="AL67" i="48"/>
  <c r="AL65" i="48"/>
  <c r="AL64" i="48"/>
  <c r="AL62" i="48"/>
  <c r="AL61" i="48"/>
  <c r="AL59" i="48"/>
  <c r="AL58" i="48"/>
  <c r="AL57" i="48"/>
  <c r="AL55" i="48"/>
  <c r="AL53" i="48"/>
  <c r="AL52" i="48"/>
  <c r="AL50" i="48"/>
  <c r="AL49" i="48"/>
  <c r="AL47" i="48"/>
  <c r="AL46" i="48"/>
  <c r="AL44" i="48"/>
  <c r="AL42" i="48"/>
  <c r="AL40" i="48"/>
  <c r="AL38" i="48"/>
  <c r="AL37" i="48"/>
  <c r="AL35" i="48"/>
  <c r="AL34" i="48"/>
  <c r="AL32" i="48"/>
  <c r="AL31" i="48"/>
  <c r="AL29" i="48"/>
  <c r="AL28" i="48"/>
  <c r="AL26" i="48"/>
  <c r="AL25" i="48"/>
  <c r="AL23" i="48"/>
  <c r="AL22" i="48"/>
  <c r="AL21" i="48"/>
  <c r="AL19" i="48"/>
  <c r="AL18" i="48"/>
  <c r="AL16" i="48"/>
  <c r="AL15" i="48"/>
  <c r="AL14" i="48"/>
  <c r="Z365" i="48"/>
  <c r="AO365" i="48" s="1"/>
  <c r="Z364" i="48"/>
  <c r="AO364" i="48" s="1"/>
  <c r="Z362" i="48"/>
  <c r="AO362" i="48" s="1"/>
  <c r="Z360" i="48"/>
  <c r="AO360" i="48" s="1"/>
  <c r="Z359" i="48"/>
  <c r="AO359" i="48" s="1"/>
  <c r="Z358" i="48"/>
  <c r="AO358" i="48" s="1"/>
  <c r="Z357" i="48"/>
  <c r="AO357" i="48" s="1"/>
  <c r="Z355" i="48"/>
  <c r="AO355" i="48" s="1"/>
  <c r="Z354" i="48"/>
  <c r="AO354" i="48" s="1"/>
  <c r="Z352" i="48"/>
  <c r="AO352" i="48" s="1"/>
  <c r="Z351" i="48"/>
  <c r="AO351" i="48" s="1"/>
  <c r="Z349" i="48"/>
  <c r="AO349" i="48" s="1"/>
  <c r="Z348" i="48"/>
  <c r="AO348" i="48" s="1"/>
  <c r="Z347" i="48"/>
  <c r="AO347" i="48" s="1"/>
  <c r="Z346" i="48"/>
  <c r="AO346" i="48" s="1"/>
  <c r="Z344" i="48"/>
  <c r="AO344" i="48" s="1"/>
  <c r="Z343" i="48"/>
  <c r="AO343" i="48" s="1"/>
  <c r="Z342" i="48"/>
  <c r="AO342" i="48" s="1"/>
  <c r="Z341" i="48"/>
  <c r="AO341" i="48" s="1"/>
  <c r="Z339" i="48"/>
  <c r="AO339" i="48" s="1"/>
  <c r="Z338" i="48"/>
  <c r="AO338" i="48" s="1"/>
  <c r="Z337" i="48"/>
  <c r="AO337" i="48" s="1"/>
  <c r="Z336" i="48"/>
  <c r="AO336" i="48" s="1"/>
  <c r="Z334" i="48"/>
  <c r="AO334" i="48" s="1"/>
  <c r="Z333" i="48"/>
  <c r="AO333" i="48" s="1"/>
  <c r="Z331" i="48"/>
  <c r="AO331" i="48" s="1"/>
  <c r="Z330" i="48"/>
  <c r="AO330" i="48" s="1"/>
  <c r="Z328" i="48"/>
  <c r="AO328" i="48" s="1"/>
  <c r="Z327" i="48"/>
  <c r="AO327" i="48" s="1"/>
  <c r="Z326" i="48"/>
  <c r="AO326" i="48" s="1"/>
  <c r="Z325" i="48"/>
  <c r="AO325" i="48" s="1"/>
  <c r="Z323" i="48"/>
  <c r="AO323" i="48" s="1"/>
  <c r="Z322" i="48"/>
  <c r="AO322" i="48" s="1"/>
  <c r="Z321" i="48"/>
  <c r="AO321" i="48" s="1"/>
  <c r="Z320" i="48"/>
  <c r="AO320" i="48" s="1"/>
  <c r="Z318" i="48"/>
  <c r="AO318" i="48" s="1"/>
  <c r="Z317" i="48"/>
  <c r="AO317" i="48" s="1"/>
  <c r="Z316" i="48"/>
  <c r="AO316" i="48" s="1"/>
  <c r="Z314" i="48"/>
  <c r="AO314" i="48" s="1"/>
  <c r="Z312" i="48"/>
  <c r="AO312" i="48" s="1"/>
  <c r="Z311" i="48"/>
  <c r="AO311" i="48" s="1"/>
  <c r="Z309" i="48"/>
  <c r="AO309" i="48" s="1"/>
  <c r="Z308" i="48"/>
  <c r="AO308" i="48" s="1"/>
  <c r="Z306" i="48"/>
  <c r="AO306" i="48" s="1"/>
  <c r="Z304" i="48"/>
  <c r="AO304" i="48" s="1"/>
  <c r="Z303" i="48"/>
  <c r="AO303" i="48" s="1"/>
  <c r="Z302" i="48"/>
  <c r="AO302" i="48" s="1"/>
  <c r="Z301" i="48"/>
  <c r="AO301" i="48" s="1"/>
  <c r="Z299" i="48"/>
  <c r="AO299" i="48" s="1"/>
  <c r="Z298" i="48"/>
  <c r="AO298" i="48" s="1"/>
  <c r="Z296" i="48"/>
  <c r="AO296" i="48" s="1"/>
  <c r="Z295" i="48"/>
  <c r="AO295" i="48" s="1"/>
  <c r="Z294" i="48"/>
  <c r="AO294" i="48" s="1"/>
  <c r="Z293" i="48"/>
  <c r="AO293" i="48" s="1"/>
  <c r="Z291" i="48"/>
  <c r="AO291" i="48" s="1"/>
  <c r="Z290" i="48"/>
  <c r="AO290" i="48" s="1"/>
  <c r="Z288" i="48"/>
  <c r="AO288" i="48" s="1"/>
  <c r="Z286" i="48"/>
  <c r="AO286" i="48" s="1"/>
  <c r="Z285" i="48"/>
  <c r="AO285" i="48" s="1"/>
  <c r="Z284" i="48"/>
  <c r="AO284" i="48" s="1"/>
  <c r="Z282" i="48"/>
  <c r="AO282" i="48" s="1"/>
  <c r="Z280" i="48"/>
  <c r="AO280" i="48" s="1"/>
  <c r="Z279" i="48"/>
  <c r="AO279" i="48" s="1"/>
  <c r="Z278" i="48"/>
  <c r="AO278" i="48" s="1"/>
  <c r="Z276" i="48"/>
  <c r="AO276" i="48" s="1"/>
  <c r="Z275" i="48"/>
  <c r="AO275" i="48" s="1"/>
  <c r="Z274" i="48"/>
  <c r="AO274" i="48" s="1"/>
  <c r="Z273" i="48"/>
  <c r="AO273" i="48" s="1"/>
  <c r="Z272" i="48"/>
  <c r="AO272" i="48" s="1"/>
  <c r="Z271" i="48"/>
  <c r="AO271" i="48" s="1"/>
  <c r="Z269" i="48"/>
  <c r="AO269" i="48" s="1"/>
  <c r="Z268" i="48"/>
  <c r="AO268" i="48" s="1"/>
  <c r="Z266" i="48"/>
  <c r="AO266" i="48" s="1"/>
  <c r="Z265" i="48"/>
  <c r="AO265" i="48" s="1"/>
  <c r="Z263" i="48"/>
  <c r="AO263" i="48" s="1"/>
  <c r="Z262" i="48"/>
  <c r="AO262" i="48" s="1"/>
  <c r="Z260" i="48"/>
  <c r="AO260" i="48" s="1"/>
  <c r="Z258" i="48"/>
  <c r="AO258" i="48" s="1"/>
  <c r="Z257" i="48"/>
  <c r="AO257" i="48" s="1"/>
  <c r="Z256" i="48"/>
  <c r="AO256" i="48" s="1"/>
  <c r="Z254" i="48"/>
  <c r="AO254" i="48" s="1"/>
  <c r="Z253" i="48"/>
  <c r="AO253" i="48" s="1"/>
  <c r="Z251" i="48"/>
  <c r="AO251" i="48" s="1"/>
  <c r="Z250" i="48"/>
  <c r="AO250" i="48" s="1"/>
  <c r="Z249" i="48"/>
  <c r="AO249" i="48" s="1"/>
  <c r="Z248" i="48"/>
  <c r="AO248" i="48" s="1"/>
  <c r="Z246" i="48"/>
  <c r="AO246" i="48" s="1"/>
  <c r="Z245" i="48"/>
  <c r="AO245" i="48" s="1"/>
  <c r="Z244" i="48"/>
  <c r="AO244" i="48" s="1"/>
  <c r="Z243" i="48"/>
  <c r="AO243" i="48" s="1"/>
  <c r="Z241" i="48"/>
  <c r="AO241" i="48" s="1"/>
  <c r="Z239" i="48"/>
  <c r="AO239" i="48" s="1"/>
  <c r="Z238" i="48"/>
  <c r="AO238" i="48" s="1"/>
  <c r="Z237" i="48"/>
  <c r="AO237" i="48" s="1"/>
  <c r="Z235" i="48"/>
  <c r="AO235" i="48" s="1"/>
  <c r="Z234" i="48"/>
  <c r="AO234" i="48" s="1"/>
  <c r="Z232" i="48"/>
  <c r="AO232" i="48" s="1"/>
  <c r="Z231" i="48"/>
  <c r="AO231" i="48" s="1"/>
  <c r="Z230" i="48"/>
  <c r="AO230" i="48" s="1"/>
  <c r="Z228" i="48"/>
  <c r="AO228" i="48" s="1"/>
  <c r="Z227" i="48"/>
  <c r="AO227" i="48" s="1"/>
  <c r="Z226" i="48"/>
  <c r="AO226" i="48" s="1"/>
  <c r="Z225" i="48"/>
  <c r="AO225" i="48" s="1"/>
  <c r="Z223" i="48"/>
  <c r="AO223" i="48" s="1"/>
  <c r="Z222" i="48"/>
  <c r="AO222" i="48" s="1"/>
  <c r="Z220" i="48"/>
  <c r="AO220" i="48" s="1"/>
  <c r="Z219" i="48"/>
  <c r="AO219" i="48" s="1"/>
  <c r="Z217" i="48"/>
  <c r="AO217" i="48" s="1"/>
  <c r="Z215" i="48"/>
  <c r="AO215" i="48" s="1"/>
  <c r="Z214" i="48"/>
  <c r="AO214" i="48" s="1"/>
  <c r="Z212" i="48"/>
  <c r="AO212" i="48" s="1"/>
  <c r="Z211" i="48"/>
  <c r="AO211" i="48" s="1"/>
  <c r="Z209" i="48"/>
  <c r="AO209" i="48" s="1"/>
  <c r="Z207" i="48"/>
  <c r="AO207" i="48" s="1"/>
  <c r="Z206" i="48"/>
  <c r="AO206" i="48" s="1"/>
  <c r="Z205" i="48"/>
  <c r="AO205" i="48" s="1"/>
  <c r="Z204" i="48"/>
  <c r="AO204" i="48" s="1"/>
  <c r="Z202" i="48"/>
  <c r="AO202" i="48" s="1"/>
  <c r="Z201" i="48"/>
  <c r="AO201" i="48" s="1"/>
  <c r="Z199" i="48"/>
  <c r="AO199" i="48" s="1"/>
  <c r="Z197" i="48"/>
  <c r="AO197" i="48" s="1"/>
  <c r="Z196" i="48"/>
  <c r="AO196" i="48" s="1"/>
  <c r="Z194" i="48"/>
  <c r="AO194" i="48" s="1"/>
  <c r="Z192" i="48"/>
  <c r="AO192" i="48" s="1"/>
  <c r="Z191" i="48"/>
  <c r="AO191" i="48" s="1"/>
  <c r="Z189" i="48"/>
  <c r="AO189" i="48" s="1"/>
  <c r="Z187" i="48"/>
  <c r="AO187" i="48" s="1"/>
  <c r="Z186" i="48"/>
  <c r="AO186" i="48" s="1"/>
  <c r="Z184" i="48"/>
  <c r="AO184" i="48" s="1"/>
  <c r="Z182" i="48"/>
  <c r="AO182" i="48" s="1"/>
  <c r="Z181" i="48"/>
  <c r="AO181" i="48" s="1"/>
  <c r="Z179" i="48"/>
  <c r="AO179" i="48" s="1"/>
  <c r="Z177" i="48"/>
  <c r="AO177" i="48" s="1"/>
  <c r="Z176" i="48"/>
  <c r="AO176" i="48" s="1"/>
  <c r="Z174" i="48"/>
  <c r="AO174" i="48" s="1"/>
  <c r="Z172" i="48"/>
  <c r="AO172" i="48" s="1"/>
  <c r="Z171" i="48"/>
  <c r="AO171" i="48" s="1"/>
  <c r="Z170" i="48"/>
  <c r="AO170" i="48" s="1"/>
  <c r="Z168" i="48"/>
  <c r="AO168" i="48" s="1"/>
  <c r="Z166" i="48"/>
  <c r="AO166" i="48" s="1"/>
  <c r="Z165" i="48"/>
  <c r="AO165" i="48" s="1"/>
  <c r="Z164" i="48"/>
  <c r="AO164" i="48" s="1"/>
  <c r="Z162" i="48"/>
  <c r="AO162" i="48" s="1"/>
  <c r="Z161" i="48"/>
  <c r="AO161" i="48" s="1"/>
  <c r="Z159" i="48"/>
  <c r="AO159" i="48" s="1"/>
  <c r="Z157" i="48"/>
  <c r="AO157" i="48" s="1"/>
  <c r="Z156" i="48"/>
  <c r="AO156" i="48" s="1"/>
  <c r="Z155" i="48"/>
  <c r="AO155" i="48" s="1"/>
  <c r="Z153" i="48"/>
  <c r="AO153" i="48" s="1"/>
  <c r="Z151" i="48"/>
  <c r="AO151" i="48" s="1"/>
  <c r="Z150" i="48"/>
  <c r="AO150" i="48" s="1"/>
  <c r="Z148" i="48"/>
  <c r="AO148" i="48" s="1"/>
  <c r="Z147" i="48"/>
  <c r="AO147" i="48" s="1"/>
  <c r="Z145" i="48"/>
  <c r="AO145" i="48" s="1"/>
  <c r="Z144" i="48"/>
  <c r="AO144" i="48" s="1"/>
  <c r="Z142" i="48"/>
  <c r="AO142" i="48" s="1"/>
  <c r="Z140" i="48"/>
  <c r="AO140" i="48" s="1"/>
  <c r="Z139" i="48"/>
  <c r="AO139" i="48" s="1"/>
  <c r="Z138" i="48"/>
  <c r="AO138" i="48" s="1"/>
  <c r="Z136" i="48"/>
  <c r="AO136" i="48" s="1"/>
  <c r="Z134" i="48"/>
  <c r="AO134" i="48" s="1"/>
  <c r="Z133" i="48"/>
  <c r="AO133" i="48" s="1"/>
  <c r="Z131" i="48"/>
  <c r="AO131" i="48" s="1"/>
  <c r="Z129" i="48"/>
  <c r="AO129" i="48" s="1"/>
  <c r="Z128" i="48"/>
  <c r="AO128" i="48" s="1"/>
  <c r="Z126" i="48"/>
  <c r="AO126" i="48" s="1"/>
  <c r="Z124" i="48"/>
  <c r="AO124" i="48" s="1"/>
  <c r="Z123" i="48"/>
  <c r="AO123" i="48" s="1"/>
  <c r="Z121" i="48"/>
  <c r="AO121" i="48" s="1"/>
  <c r="Z119" i="48"/>
  <c r="AO119" i="48" s="1"/>
  <c r="Z118" i="48"/>
  <c r="AO118" i="48" s="1"/>
  <c r="Z116" i="48"/>
  <c r="AO116" i="48" s="1"/>
  <c r="Z114" i="48"/>
  <c r="AO114" i="48" s="1"/>
  <c r="Z113" i="48"/>
  <c r="AO113" i="48" s="1"/>
  <c r="Z111" i="48"/>
  <c r="AO111" i="48" s="1"/>
  <c r="Z109" i="48"/>
  <c r="AO109" i="48" s="1"/>
  <c r="Z108" i="48"/>
  <c r="AO108" i="48" s="1"/>
  <c r="Z107" i="48"/>
  <c r="AO107" i="48" s="1"/>
  <c r="Z105" i="48"/>
  <c r="AO105" i="48" s="1"/>
  <c r="Z103" i="48"/>
  <c r="AO103" i="48" s="1"/>
  <c r="Z102" i="48"/>
  <c r="AO102" i="48" s="1"/>
  <c r="Z100" i="48"/>
  <c r="AO100" i="48" s="1"/>
  <c r="Z99" i="48"/>
  <c r="AO99" i="48" s="1"/>
  <c r="Z97" i="48"/>
  <c r="AO97" i="48" s="1"/>
  <c r="Z96" i="48"/>
  <c r="AO96" i="48" s="1"/>
  <c r="Z95" i="48"/>
  <c r="AO95" i="48" s="1"/>
  <c r="Z93" i="48"/>
  <c r="AO93" i="48" s="1"/>
  <c r="Z92" i="48"/>
  <c r="AO92" i="48" s="1"/>
  <c r="Z90" i="48"/>
  <c r="AO90" i="48" s="1"/>
  <c r="Z88" i="48"/>
  <c r="AO88" i="48" s="1"/>
  <c r="Z87" i="48"/>
  <c r="AO87" i="48" s="1"/>
  <c r="Z85" i="48"/>
  <c r="AO85" i="48" s="1"/>
  <c r="Z84" i="48"/>
  <c r="AO84" i="48" s="1"/>
  <c r="Z82" i="48"/>
  <c r="AO82" i="48" s="1"/>
  <c r="Z80" i="48"/>
  <c r="AO80" i="48" s="1"/>
  <c r="Z79" i="48"/>
  <c r="AO79" i="48" s="1"/>
  <c r="Z77" i="48"/>
  <c r="AO77" i="48" s="1"/>
  <c r="Z76" i="48"/>
  <c r="AO76" i="48" s="1"/>
  <c r="Z74" i="48"/>
  <c r="AO74" i="48" s="1"/>
  <c r="Z73" i="48"/>
  <c r="AO73" i="48" s="1"/>
  <c r="Z71" i="48"/>
  <c r="AO71" i="48" s="1"/>
  <c r="Z70" i="48"/>
  <c r="AO70" i="48" s="1"/>
  <c r="Z68" i="48"/>
  <c r="AO68" i="48" s="1"/>
  <c r="Z67" i="48"/>
  <c r="AO67" i="48" s="1"/>
  <c r="Z65" i="48"/>
  <c r="AO65" i="48" s="1"/>
  <c r="Z64" i="48"/>
  <c r="AO64" i="48" s="1"/>
  <c r="Z62" i="48"/>
  <c r="AO62" i="48" s="1"/>
  <c r="Z61" i="48"/>
  <c r="AO61" i="48" s="1"/>
  <c r="Z59" i="48"/>
  <c r="AO59" i="48" s="1"/>
  <c r="Z58" i="48"/>
  <c r="AO58" i="48" s="1"/>
  <c r="Z57" i="48"/>
  <c r="AO57" i="48" s="1"/>
  <c r="Z55" i="48"/>
  <c r="AO55" i="48" s="1"/>
  <c r="Z53" i="48"/>
  <c r="AO53" i="48" s="1"/>
  <c r="Z52" i="48"/>
  <c r="AO52" i="48" s="1"/>
  <c r="Z50" i="48"/>
  <c r="AO50" i="48" s="1"/>
  <c r="Z49" i="48"/>
  <c r="AO49" i="48" s="1"/>
  <c r="Z47" i="48"/>
  <c r="AO47" i="48" s="1"/>
  <c r="Z46" i="48"/>
  <c r="AO46" i="48" s="1"/>
  <c r="Z44" i="48"/>
  <c r="AO44" i="48" s="1"/>
  <c r="Z42" i="48"/>
  <c r="AO42" i="48" s="1"/>
  <c r="Z40" i="48"/>
  <c r="AO40" i="48" s="1"/>
  <c r="Z38" i="48"/>
  <c r="AO38" i="48" s="1"/>
  <c r="Z37" i="48"/>
  <c r="AO37" i="48" s="1"/>
  <c r="Z35" i="48"/>
  <c r="AO35" i="48" s="1"/>
  <c r="Z34" i="48"/>
  <c r="AO34" i="48" s="1"/>
  <c r="Z32" i="48"/>
  <c r="AO32" i="48" s="1"/>
  <c r="Z31" i="48"/>
  <c r="AO31" i="48" s="1"/>
  <c r="Z29" i="48"/>
  <c r="AO29" i="48" s="1"/>
  <c r="Z28" i="48"/>
  <c r="AO28" i="48" s="1"/>
  <c r="Z26" i="48"/>
  <c r="AO26" i="48" s="1"/>
  <c r="Z25" i="48"/>
  <c r="AO25" i="48" s="1"/>
  <c r="Z23" i="48"/>
  <c r="AO23" i="48" s="1"/>
  <c r="Z22" i="48"/>
  <c r="AO22" i="48" s="1"/>
  <c r="Z21" i="48"/>
  <c r="AO21" i="48" s="1"/>
  <c r="Z19" i="48"/>
  <c r="AO19" i="48" s="1"/>
  <c r="Z18" i="48"/>
  <c r="AO18" i="48" s="1"/>
  <c r="Z16" i="48"/>
  <c r="AO16" i="48" s="1"/>
  <c r="Z15" i="48"/>
  <c r="AO15" i="48" s="1"/>
  <c r="Z14" i="48"/>
  <c r="AO14" i="48" s="1"/>
  <c r="AL12" i="48"/>
  <c r="AN12" i="44" l="1"/>
  <c r="AA12" i="44"/>
  <c r="AB12" i="44"/>
  <c r="AP12" i="44" s="1"/>
  <c r="AC12" i="44"/>
  <c r="AQ12" i="44" s="1"/>
  <c r="J367" i="48"/>
  <c r="C13" i="47" s="1"/>
  <c r="O367" i="48"/>
  <c r="H13" i="47" s="1"/>
  <c r="L367" i="48"/>
  <c r="E13" i="47" s="1"/>
  <c r="M367" i="48"/>
  <c r="F13" i="47" s="1"/>
  <c r="I104" i="44"/>
  <c r="I103" i="44"/>
  <c r="B14" i="47" s="1"/>
  <c r="I368" i="48" l="1"/>
  <c r="AE12" i="44"/>
  <c r="AM12" i="44" s="1"/>
  <c r="I367" i="48"/>
  <c r="B13" i="47" s="1"/>
  <c r="Z12" i="48"/>
  <c r="AO12" i="48" s="1"/>
  <c r="P12" i="48"/>
  <c r="P13" i="48" s="1"/>
  <c r="V331" i="48"/>
  <c r="P375" i="48"/>
  <c r="P376" i="48"/>
  <c r="Y13" i="48"/>
  <c r="AH13" i="48"/>
  <c r="AI13" i="48"/>
  <c r="AJ13" i="48"/>
  <c r="AK13" i="48"/>
  <c r="Y17" i="48"/>
  <c r="AH17" i="48"/>
  <c r="AI17" i="48"/>
  <c r="AJ17" i="48"/>
  <c r="AK17" i="48"/>
  <c r="Y20" i="48"/>
  <c r="AH20" i="48"/>
  <c r="AI20" i="48"/>
  <c r="AJ20" i="48"/>
  <c r="AK20" i="48"/>
  <c r="Y24" i="48"/>
  <c r="AH24" i="48"/>
  <c r="AI24" i="48"/>
  <c r="AJ24" i="48"/>
  <c r="AK24" i="48"/>
  <c r="Y27" i="48"/>
  <c r="AH27" i="48"/>
  <c r="AI27" i="48"/>
  <c r="AJ27" i="48"/>
  <c r="AK27" i="48"/>
  <c r="Y30" i="48"/>
  <c r="AH30" i="48"/>
  <c r="AI30" i="48"/>
  <c r="AJ30" i="48"/>
  <c r="AK30" i="48"/>
  <c r="Y33" i="48"/>
  <c r="AH33" i="48"/>
  <c r="AI33" i="48"/>
  <c r="AJ33" i="48"/>
  <c r="AK33" i="48"/>
  <c r="Y36" i="48"/>
  <c r="AH36" i="48"/>
  <c r="AI36" i="48"/>
  <c r="AJ36" i="48"/>
  <c r="AK36" i="48"/>
  <c r="Y39" i="48"/>
  <c r="AH39" i="48"/>
  <c r="AI39" i="48"/>
  <c r="AJ39" i="48"/>
  <c r="AK39" i="48"/>
  <c r="Y41" i="48"/>
  <c r="AH41" i="48"/>
  <c r="AI41" i="48"/>
  <c r="AJ41" i="48"/>
  <c r="AK41" i="48"/>
  <c r="Y43" i="48"/>
  <c r="AH43" i="48"/>
  <c r="AI43" i="48"/>
  <c r="AJ43" i="48"/>
  <c r="AK43" i="48"/>
  <c r="Y45" i="48"/>
  <c r="AH45" i="48"/>
  <c r="AI45" i="48"/>
  <c r="AJ45" i="48"/>
  <c r="AK45" i="48"/>
  <c r="Y48" i="48"/>
  <c r="AH48" i="48"/>
  <c r="AI48" i="48"/>
  <c r="AJ48" i="48"/>
  <c r="AK48" i="48"/>
  <c r="Y51" i="48"/>
  <c r="AH51" i="48"/>
  <c r="AI51" i="48"/>
  <c r="AJ51" i="48"/>
  <c r="AK51" i="48"/>
  <c r="Y54" i="48"/>
  <c r="AH54" i="48"/>
  <c r="AI54" i="48"/>
  <c r="AJ54" i="48"/>
  <c r="AK54" i="48"/>
  <c r="Y56" i="48"/>
  <c r="AH56" i="48"/>
  <c r="AI56" i="48"/>
  <c r="AJ56" i="48"/>
  <c r="AK56" i="48"/>
  <c r="Y60" i="48"/>
  <c r="AH60" i="48"/>
  <c r="AI60" i="48"/>
  <c r="AJ60" i="48"/>
  <c r="AK60" i="48"/>
  <c r="Y63" i="48"/>
  <c r="AH63" i="48"/>
  <c r="AI63" i="48"/>
  <c r="AJ63" i="48"/>
  <c r="AK63" i="48"/>
  <c r="Y66" i="48"/>
  <c r="AH66" i="48"/>
  <c r="AI66" i="48"/>
  <c r="AJ66" i="48"/>
  <c r="AK66" i="48"/>
  <c r="Y69" i="48"/>
  <c r="AH69" i="48"/>
  <c r="AI69" i="48"/>
  <c r="AJ69" i="48"/>
  <c r="AK69" i="48"/>
  <c r="Y72" i="48"/>
  <c r="AH72" i="48"/>
  <c r="AI72" i="48"/>
  <c r="AJ72" i="48"/>
  <c r="AK72" i="48"/>
  <c r="Y75" i="48"/>
  <c r="AH75" i="48"/>
  <c r="AI75" i="48"/>
  <c r="AJ75" i="48"/>
  <c r="AK75" i="48"/>
  <c r="Y78" i="48"/>
  <c r="AH78" i="48"/>
  <c r="AI78" i="48"/>
  <c r="AJ78" i="48"/>
  <c r="AK78" i="48"/>
  <c r="Y81" i="48"/>
  <c r="AH81" i="48"/>
  <c r="AI81" i="48"/>
  <c r="AJ81" i="48"/>
  <c r="AK81" i="48"/>
  <c r="Y83" i="48"/>
  <c r="AH83" i="48"/>
  <c r="AI83" i="48"/>
  <c r="AJ83" i="48"/>
  <c r="AK83" i="48"/>
  <c r="Y86" i="48"/>
  <c r="AH86" i="48"/>
  <c r="AI86" i="48"/>
  <c r="AJ86" i="48"/>
  <c r="AK86" i="48"/>
  <c r="Y89" i="48"/>
  <c r="AH89" i="48"/>
  <c r="AI89" i="48"/>
  <c r="AJ89" i="48"/>
  <c r="AK89" i="48"/>
  <c r="Y91" i="48"/>
  <c r="AH91" i="48"/>
  <c r="AI91" i="48"/>
  <c r="AJ91" i="48"/>
  <c r="AK91" i="48"/>
  <c r="Y94" i="48"/>
  <c r="AH94" i="48"/>
  <c r="AI94" i="48"/>
  <c r="AJ94" i="48"/>
  <c r="AK94" i="48"/>
  <c r="Y98" i="48"/>
  <c r="AH98" i="48"/>
  <c r="AI98" i="48"/>
  <c r="AJ98" i="48"/>
  <c r="AK98" i="48"/>
  <c r="Y104" i="48"/>
  <c r="AH104" i="48"/>
  <c r="AI104" i="48"/>
  <c r="AJ104" i="48"/>
  <c r="AK104" i="48"/>
  <c r="Y110" i="48"/>
  <c r="AH110" i="48"/>
  <c r="AI110" i="48"/>
  <c r="AJ110" i="48"/>
  <c r="AK110" i="48"/>
  <c r="Y115" i="48"/>
  <c r="AH115" i="48"/>
  <c r="AI115" i="48"/>
  <c r="AJ115" i="48"/>
  <c r="AK115" i="48"/>
  <c r="Y120" i="48"/>
  <c r="AH120" i="48"/>
  <c r="AI120" i="48"/>
  <c r="AJ120" i="48"/>
  <c r="AK120" i="48"/>
  <c r="Y125" i="48"/>
  <c r="AH125" i="48"/>
  <c r="AI125" i="48"/>
  <c r="AJ125" i="48"/>
  <c r="AK125" i="48"/>
  <c r="Y130" i="48"/>
  <c r="AH130" i="48"/>
  <c r="AI130" i="48"/>
  <c r="AJ130" i="48"/>
  <c r="AK130" i="48"/>
  <c r="Y135" i="48"/>
  <c r="AH135" i="48"/>
  <c r="AI135" i="48"/>
  <c r="AJ135" i="48"/>
  <c r="AK135" i="48"/>
  <c r="Y141" i="48"/>
  <c r="AH141" i="48"/>
  <c r="AI141" i="48"/>
  <c r="AJ141" i="48"/>
  <c r="AK141" i="48"/>
  <c r="Y146" i="48"/>
  <c r="AH146" i="48"/>
  <c r="AI146" i="48"/>
  <c r="AJ146" i="48"/>
  <c r="AK146" i="48"/>
  <c r="Y152" i="48"/>
  <c r="AH152" i="48"/>
  <c r="AI152" i="48"/>
  <c r="AJ152" i="48"/>
  <c r="AK152" i="48"/>
  <c r="Y158" i="48"/>
  <c r="AH158" i="48"/>
  <c r="AI158" i="48"/>
  <c r="AJ158" i="48"/>
  <c r="AK158" i="48"/>
  <c r="Y163" i="48"/>
  <c r="AH163" i="48"/>
  <c r="AI163" i="48"/>
  <c r="AJ163" i="48"/>
  <c r="AK163" i="48"/>
  <c r="Y167" i="48"/>
  <c r="AH167" i="48"/>
  <c r="AI167" i="48"/>
  <c r="AJ167" i="48"/>
  <c r="AK167" i="48"/>
  <c r="Y173" i="48"/>
  <c r="AH173" i="48"/>
  <c r="AI173" i="48"/>
  <c r="AJ173" i="48"/>
  <c r="AK173" i="48"/>
  <c r="Y178" i="48"/>
  <c r="AH178" i="48"/>
  <c r="AI178" i="48"/>
  <c r="AJ178" i="48"/>
  <c r="AK178" i="48"/>
  <c r="Y183" i="48"/>
  <c r="AH183" i="48"/>
  <c r="AI183" i="48"/>
  <c r="AJ183" i="48"/>
  <c r="AK183" i="48"/>
  <c r="Y188" i="48"/>
  <c r="AH188" i="48"/>
  <c r="AI188" i="48"/>
  <c r="AJ188" i="48"/>
  <c r="AK188" i="48"/>
  <c r="Y193" i="48"/>
  <c r="AH193" i="48"/>
  <c r="AI193" i="48"/>
  <c r="AJ193" i="48"/>
  <c r="AK193" i="48"/>
  <c r="Y198" i="48"/>
  <c r="AH198" i="48"/>
  <c r="AI198" i="48"/>
  <c r="AJ198" i="48"/>
  <c r="AK198" i="48"/>
  <c r="Y203" i="48"/>
  <c r="AH203" i="48"/>
  <c r="AI203" i="48"/>
  <c r="AJ203" i="48"/>
  <c r="AK203" i="48"/>
  <c r="Y208" i="48"/>
  <c r="AH208" i="48"/>
  <c r="AI208" i="48"/>
  <c r="AJ208" i="48"/>
  <c r="AK208" i="48"/>
  <c r="Y210" i="48"/>
  <c r="AH210" i="48"/>
  <c r="AI210" i="48"/>
  <c r="AJ210" i="48"/>
  <c r="AK210" i="48"/>
  <c r="Y213" i="48"/>
  <c r="AH213" i="48"/>
  <c r="AI213" i="48"/>
  <c r="AJ213" i="48"/>
  <c r="AK213" i="48"/>
  <c r="Y216" i="48"/>
  <c r="AH216" i="48"/>
  <c r="AI216" i="48"/>
  <c r="AJ216" i="48"/>
  <c r="AK216" i="48"/>
  <c r="Y221" i="48"/>
  <c r="AH221" i="48"/>
  <c r="AI221" i="48"/>
  <c r="AJ221" i="48"/>
  <c r="AK221" i="48"/>
  <c r="Y224" i="48"/>
  <c r="AH224" i="48"/>
  <c r="AI224" i="48"/>
  <c r="AJ224" i="48"/>
  <c r="AK224" i="48"/>
  <c r="Y229" i="48"/>
  <c r="AH229" i="48"/>
  <c r="AI229" i="48"/>
  <c r="AJ229" i="48"/>
  <c r="AK229" i="48"/>
  <c r="Y233" i="48"/>
  <c r="AH233" i="48"/>
  <c r="AI233" i="48"/>
  <c r="AJ233" i="48"/>
  <c r="AK233" i="48"/>
  <c r="Y240" i="48"/>
  <c r="AH240" i="48"/>
  <c r="AI240" i="48"/>
  <c r="AJ240" i="48"/>
  <c r="AK240" i="48"/>
  <c r="Y242" i="48"/>
  <c r="AH242" i="48"/>
  <c r="AI242" i="48"/>
  <c r="AJ242" i="48"/>
  <c r="AK242" i="48"/>
  <c r="Y247" i="48"/>
  <c r="AH247" i="48"/>
  <c r="AI247" i="48"/>
  <c r="AJ247" i="48"/>
  <c r="AK247" i="48"/>
  <c r="Y252" i="48"/>
  <c r="AH252" i="48"/>
  <c r="AI252" i="48"/>
  <c r="AJ252" i="48"/>
  <c r="AK252" i="48"/>
  <c r="Y255" i="48"/>
  <c r="AH255" i="48"/>
  <c r="AI255" i="48"/>
  <c r="AJ255" i="48"/>
  <c r="AK255" i="48"/>
  <c r="Y259" i="48"/>
  <c r="AH259" i="48"/>
  <c r="AI259" i="48"/>
  <c r="AJ259" i="48"/>
  <c r="AK259" i="48"/>
  <c r="Y261" i="48"/>
  <c r="AH261" i="48"/>
  <c r="AI261" i="48"/>
  <c r="AJ261" i="48"/>
  <c r="AK261" i="48"/>
  <c r="Y264" i="48"/>
  <c r="AH264" i="48"/>
  <c r="AI264" i="48"/>
  <c r="AJ264" i="48"/>
  <c r="AK264" i="48"/>
  <c r="Y267" i="48"/>
  <c r="AH267" i="48"/>
  <c r="AI267" i="48"/>
  <c r="AJ267" i="48"/>
  <c r="AK267" i="48"/>
  <c r="Y270" i="48"/>
  <c r="AH270" i="48"/>
  <c r="AI270" i="48"/>
  <c r="AJ270" i="48"/>
  <c r="AK270" i="48"/>
  <c r="Y277" i="48"/>
  <c r="AH277" i="48"/>
  <c r="AI277" i="48"/>
  <c r="AJ277" i="48"/>
  <c r="AK277" i="48"/>
  <c r="Y281" i="48"/>
  <c r="AH281" i="48"/>
  <c r="AI281" i="48"/>
  <c r="AJ281" i="48"/>
  <c r="AK281" i="48"/>
  <c r="Y287" i="48"/>
  <c r="AH287" i="48"/>
  <c r="AI287" i="48"/>
  <c r="AJ287" i="48"/>
  <c r="AK287" i="48"/>
  <c r="Y292" i="48"/>
  <c r="AH292" i="48"/>
  <c r="AI292" i="48"/>
  <c r="AJ292" i="48"/>
  <c r="AK292" i="48"/>
  <c r="Y297" i="48"/>
  <c r="AH297" i="48"/>
  <c r="AI297" i="48"/>
  <c r="AJ297" i="48"/>
  <c r="AK297" i="48"/>
  <c r="Y300" i="48"/>
  <c r="AH300" i="48"/>
  <c r="AI300" i="48"/>
  <c r="AJ300" i="48"/>
  <c r="AK300" i="48"/>
  <c r="Y305" i="48"/>
  <c r="AH305" i="48"/>
  <c r="AI305" i="48"/>
  <c r="AJ305" i="48"/>
  <c r="AK305" i="48"/>
  <c r="Y310" i="48"/>
  <c r="AH310" i="48"/>
  <c r="AI310" i="48"/>
  <c r="AJ310" i="48"/>
  <c r="AK310" i="48"/>
  <c r="Y313" i="48"/>
  <c r="AH313" i="48"/>
  <c r="AI313" i="48"/>
  <c r="AJ313" i="48"/>
  <c r="AK313" i="48"/>
  <c r="Y319" i="48"/>
  <c r="AH319" i="48"/>
  <c r="AI319" i="48"/>
  <c r="AJ319" i="48"/>
  <c r="AK319" i="48"/>
  <c r="Y324" i="48"/>
  <c r="AH324" i="48"/>
  <c r="AI324" i="48"/>
  <c r="AJ324" i="48"/>
  <c r="AK324" i="48"/>
  <c r="Y329" i="48"/>
  <c r="AH329" i="48"/>
  <c r="AI329" i="48"/>
  <c r="AJ329" i="48"/>
  <c r="AK329" i="48"/>
  <c r="Y335" i="48"/>
  <c r="AH335" i="48"/>
  <c r="AI335" i="48"/>
  <c r="AJ335" i="48"/>
  <c r="AK335" i="48"/>
  <c r="Y340" i="48"/>
  <c r="AH340" i="48"/>
  <c r="AI340" i="48"/>
  <c r="AJ340" i="48"/>
  <c r="AK340" i="48"/>
  <c r="Y345" i="48"/>
  <c r="AH345" i="48"/>
  <c r="AI345" i="48"/>
  <c r="AJ345" i="48"/>
  <c r="AK345" i="48"/>
  <c r="Y350" i="48"/>
  <c r="AH350" i="48"/>
  <c r="AI350" i="48"/>
  <c r="AJ350" i="48"/>
  <c r="AK350" i="48"/>
  <c r="Y356" i="48"/>
  <c r="AH356" i="48"/>
  <c r="AI356" i="48"/>
  <c r="AJ356" i="48"/>
  <c r="AK356" i="48"/>
  <c r="Y361" i="48"/>
  <c r="AH361" i="48"/>
  <c r="AI361" i="48"/>
  <c r="AJ361" i="48"/>
  <c r="AK361" i="48"/>
  <c r="Y363" i="48"/>
  <c r="AH363" i="48"/>
  <c r="AI363" i="48"/>
  <c r="AJ363" i="48"/>
  <c r="AK363" i="48"/>
  <c r="Y366" i="48"/>
  <c r="AH366" i="48"/>
  <c r="AI366" i="48"/>
  <c r="AJ366" i="48"/>
  <c r="AK366" i="48"/>
  <c r="I371" i="48"/>
  <c r="J371" i="48"/>
  <c r="L371" i="48"/>
  <c r="M371" i="48"/>
  <c r="O371" i="48"/>
  <c r="Q371" i="48"/>
  <c r="J27" i="47" s="1"/>
  <c r="R371" i="48"/>
  <c r="S371" i="48"/>
  <c r="T371" i="48"/>
  <c r="U371" i="48"/>
  <c r="W371" i="48"/>
  <c r="X371" i="48"/>
  <c r="Y371" i="48"/>
  <c r="AF371" i="48"/>
  <c r="AG371" i="48"/>
  <c r="AH371" i="48"/>
  <c r="AI371" i="48"/>
  <c r="AJ371" i="48"/>
  <c r="AK371" i="48"/>
  <c r="I372" i="48"/>
  <c r="J372" i="48"/>
  <c r="L372" i="48"/>
  <c r="M372" i="48"/>
  <c r="O372" i="48"/>
  <c r="Q372" i="48"/>
  <c r="J28" i="47" s="1"/>
  <c r="R372" i="48"/>
  <c r="S372" i="48"/>
  <c r="T372" i="48"/>
  <c r="U372" i="48"/>
  <c r="W372" i="48"/>
  <c r="X372" i="48"/>
  <c r="Y372" i="48"/>
  <c r="AF372" i="48"/>
  <c r="AH372" i="48"/>
  <c r="AI372" i="48"/>
  <c r="AJ372" i="48"/>
  <c r="AK372" i="48"/>
  <c r="I373" i="48"/>
  <c r="J373" i="48"/>
  <c r="L373" i="48"/>
  <c r="M373" i="48"/>
  <c r="O373" i="48"/>
  <c r="Q373" i="48"/>
  <c r="J29" i="47" s="1"/>
  <c r="R373" i="48"/>
  <c r="S373" i="48"/>
  <c r="T373" i="48"/>
  <c r="U373" i="48"/>
  <c r="W373" i="48"/>
  <c r="X373" i="48"/>
  <c r="Y373" i="48"/>
  <c r="AF373" i="48"/>
  <c r="AG373" i="48"/>
  <c r="AH373" i="48"/>
  <c r="AI373" i="48"/>
  <c r="AJ373" i="48"/>
  <c r="AK373" i="48"/>
  <c r="I374" i="48"/>
  <c r="J374" i="48"/>
  <c r="L374" i="48"/>
  <c r="M374" i="48"/>
  <c r="O374" i="48"/>
  <c r="Q374" i="48"/>
  <c r="J30" i="47" s="1"/>
  <c r="R374" i="48"/>
  <c r="S374" i="48"/>
  <c r="T374" i="48"/>
  <c r="U374" i="48"/>
  <c r="W374" i="48"/>
  <c r="X374" i="48"/>
  <c r="Y374" i="48"/>
  <c r="AF374" i="48"/>
  <c r="AG374" i="48"/>
  <c r="AH374" i="48"/>
  <c r="AI374" i="48"/>
  <c r="AJ374" i="48"/>
  <c r="AK374" i="48"/>
  <c r="I375" i="48"/>
  <c r="J375" i="48"/>
  <c r="L375" i="48"/>
  <c r="M375" i="48"/>
  <c r="O375" i="48"/>
  <c r="Q375" i="48"/>
  <c r="J31" i="47" s="1"/>
  <c r="R375" i="48"/>
  <c r="S375" i="48"/>
  <c r="T375" i="48"/>
  <c r="U375" i="48"/>
  <c r="V375" i="48"/>
  <c r="W375" i="48"/>
  <c r="X375" i="48"/>
  <c r="Y375" i="48"/>
  <c r="Z375" i="48"/>
  <c r="AA375" i="48"/>
  <c r="T31" i="47" s="1"/>
  <c r="AB375" i="48"/>
  <c r="AC375" i="48"/>
  <c r="AE375" i="48"/>
  <c r="AF375" i="48"/>
  <c r="AG375" i="48"/>
  <c r="AH375" i="48"/>
  <c r="AI375" i="48"/>
  <c r="AJ375" i="48"/>
  <c r="AK375" i="48"/>
  <c r="AL375" i="48"/>
  <c r="AM375" i="48"/>
  <c r="AN375" i="48"/>
  <c r="AO375" i="48"/>
  <c r="AP375" i="48"/>
  <c r="AQ375" i="48"/>
  <c r="AS375" i="48"/>
  <c r="I376" i="48"/>
  <c r="J376" i="48"/>
  <c r="L376" i="48"/>
  <c r="M376" i="48"/>
  <c r="O376" i="48"/>
  <c r="Q376" i="48"/>
  <c r="J32" i="47" s="1"/>
  <c r="R376" i="48"/>
  <c r="S376" i="48"/>
  <c r="T376" i="48"/>
  <c r="U376" i="48"/>
  <c r="V376" i="48"/>
  <c r="W376" i="48"/>
  <c r="X376" i="48"/>
  <c r="Y376" i="48"/>
  <c r="Z376" i="48"/>
  <c r="AA376" i="48"/>
  <c r="T32" i="47" s="1"/>
  <c r="AB376" i="48"/>
  <c r="AC376" i="48"/>
  <c r="AE376" i="48"/>
  <c r="AF376" i="48"/>
  <c r="AG376" i="48"/>
  <c r="AH376" i="48"/>
  <c r="AI376" i="48"/>
  <c r="AJ376" i="48"/>
  <c r="AK376" i="48"/>
  <c r="AL376" i="48"/>
  <c r="AM376" i="48"/>
  <c r="AN376" i="48"/>
  <c r="AO376" i="48"/>
  <c r="AP376" i="48"/>
  <c r="AQ376" i="48"/>
  <c r="AS376" i="48"/>
  <c r="I377" i="48"/>
  <c r="J377" i="48"/>
  <c r="L377" i="48"/>
  <c r="M377" i="48"/>
  <c r="O377" i="48"/>
  <c r="Q377" i="48"/>
  <c r="J33" i="47" s="1"/>
  <c r="R377" i="48"/>
  <c r="S377" i="48"/>
  <c r="T377" i="48"/>
  <c r="U377" i="48"/>
  <c r="W377" i="48"/>
  <c r="X377" i="48"/>
  <c r="Y377" i="48"/>
  <c r="AF377" i="48"/>
  <c r="AG377" i="48"/>
  <c r="AH377" i="48"/>
  <c r="AI377" i="48"/>
  <c r="AJ377" i="48"/>
  <c r="AK377" i="48"/>
  <c r="I378" i="48"/>
  <c r="J378" i="48"/>
  <c r="L378" i="48"/>
  <c r="M378" i="48"/>
  <c r="O378" i="48"/>
  <c r="Q378" i="48"/>
  <c r="J34" i="47" s="1"/>
  <c r="R378" i="48"/>
  <c r="S378" i="48"/>
  <c r="T378" i="48"/>
  <c r="U378" i="48"/>
  <c r="W378" i="48"/>
  <c r="X378" i="48"/>
  <c r="Y378" i="48"/>
  <c r="AF378" i="48"/>
  <c r="AG378" i="48"/>
  <c r="AH378" i="48"/>
  <c r="AI378" i="48"/>
  <c r="AJ378" i="48"/>
  <c r="AK378" i="48"/>
  <c r="I379" i="48"/>
  <c r="J379" i="48"/>
  <c r="L379" i="48"/>
  <c r="M379" i="48"/>
  <c r="O379" i="48"/>
  <c r="Q379" i="48"/>
  <c r="J35" i="47" s="1"/>
  <c r="R379" i="48"/>
  <c r="S379" i="48"/>
  <c r="T379" i="48"/>
  <c r="U379" i="48"/>
  <c r="W379" i="48"/>
  <c r="X379" i="48"/>
  <c r="Y379" i="48"/>
  <c r="AF379" i="48"/>
  <c r="AG379" i="48"/>
  <c r="AH379" i="48"/>
  <c r="AI379" i="48"/>
  <c r="AJ379" i="48"/>
  <c r="AK379" i="48"/>
  <c r="I380" i="48"/>
  <c r="J380" i="48"/>
  <c r="L380" i="48"/>
  <c r="M380" i="48"/>
  <c r="O380" i="48"/>
  <c r="Q380" i="48"/>
  <c r="J36" i="47" s="1"/>
  <c r="R380" i="48"/>
  <c r="S380" i="48"/>
  <c r="T380" i="48"/>
  <c r="U380" i="48"/>
  <c r="W380" i="48"/>
  <c r="X380" i="48"/>
  <c r="Y380" i="48"/>
  <c r="AF380" i="48"/>
  <c r="AG380" i="48"/>
  <c r="AH380" i="48"/>
  <c r="AI380" i="48"/>
  <c r="AJ380" i="48"/>
  <c r="AK380" i="48"/>
  <c r="B23" i="47" l="1"/>
  <c r="V14" i="48"/>
  <c r="V15" i="48"/>
  <c r="V16" i="48"/>
  <c r="V18" i="48"/>
  <c r="V19" i="48"/>
  <c r="V21" i="48"/>
  <c r="V22" i="48"/>
  <c r="V23" i="48"/>
  <c r="V25" i="48"/>
  <c r="V26" i="48"/>
  <c r="V28" i="48"/>
  <c r="V29" i="48"/>
  <c r="V31" i="48"/>
  <c r="V32" i="48"/>
  <c r="V34" i="48"/>
  <c r="V35" i="48"/>
  <c r="V37" i="48"/>
  <c r="V38" i="48"/>
  <c r="V40" i="48"/>
  <c r="V41" i="48" s="1"/>
  <c r="V42" i="48"/>
  <c r="V43" i="48" s="1"/>
  <c r="V44" i="48"/>
  <c r="V45" i="48" s="1"/>
  <c r="V46" i="48"/>
  <c r="V47" i="48"/>
  <c r="V49" i="48"/>
  <c r="V50" i="48"/>
  <c r="V52" i="48"/>
  <c r="V53" i="48"/>
  <c r="V55" i="48"/>
  <c r="V56" i="48" s="1"/>
  <c r="V57" i="48"/>
  <c r="V58" i="48"/>
  <c r="V59" i="48"/>
  <c r="V61" i="48"/>
  <c r="V62" i="48"/>
  <c r="V64" i="48"/>
  <c r="V65" i="48"/>
  <c r="V67" i="48"/>
  <c r="V68" i="48"/>
  <c r="V70" i="48"/>
  <c r="V71" i="48"/>
  <c r="V73" i="48"/>
  <c r="V74" i="48"/>
  <c r="V76" i="48"/>
  <c r="V77" i="48"/>
  <c r="V79" i="48"/>
  <c r="V80" i="48"/>
  <c r="AC80" i="48" s="1"/>
  <c r="AQ80" i="48" s="1"/>
  <c r="V82" i="48"/>
  <c r="V83" i="48" s="1"/>
  <c r="V84" i="48"/>
  <c r="V85" i="48"/>
  <c r="V87" i="48"/>
  <c r="V88" i="48"/>
  <c r="V90" i="48"/>
  <c r="V91" i="48" s="1"/>
  <c r="V92" i="48"/>
  <c r="V93" i="48"/>
  <c r="V95" i="48"/>
  <c r="V96" i="48"/>
  <c r="V97" i="48"/>
  <c r="V99" i="48"/>
  <c r="V100" i="48"/>
  <c r="V102" i="48"/>
  <c r="V103" i="48"/>
  <c r="V105" i="48"/>
  <c r="V107" i="48"/>
  <c r="V108" i="48"/>
  <c r="V109" i="48"/>
  <c r="V111" i="48"/>
  <c r="V113" i="48"/>
  <c r="AC113" i="48" s="1"/>
  <c r="AQ113" i="48" s="1"/>
  <c r="V114" i="48"/>
  <c r="V116" i="48"/>
  <c r="V118" i="48"/>
  <c r="V119" i="48"/>
  <c r="V121" i="48"/>
  <c r="V123" i="48"/>
  <c r="V124" i="48"/>
  <c r="V126" i="48"/>
  <c r="V128" i="48"/>
  <c r="V129" i="48"/>
  <c r="V131" i="48"/>
  <c r="V133" i="48"/>
  <c r="V134" i="48"/>
  <c r="V136" i="48"/>
  <c r="V138" i="48"/>
  <c r="V139" i="48"/>
  <c r="V140" i="48"/>
  <c r="AC140" i="48" s="1"/>
  <c r="AQ140" i="48" s="1"/>
  <c r="V142" i="48"/>
  <c r="V144" i="48"/>
  <c r="V145" i="48"/>
  <c r="V147" i="48"/>
  <c r="V148" i="48"/>
  <c r="V150" i="48"/>
  <c r="V151" i="48"/>
  <c r="V153" i="48"/>
  <c r="V155" i="48"/>
  <c r="V156" i="48"/>
  <c r="V157" i="48"/>
  <c r="V159" i="48"/>
  <c r="V161" i="48"/>
  <c r="AC161" i="48" s="1"/>
  <c r="AQ161" i="48" s="1"/>
  <c r="V162" i="48"/>
  <c r="V164" i="48"/>
  <c r="V165" i="48"/>
  <c r="V166" i="48"/>
  <c r="V168" i="48"/>
  <c r="V170" i="48"/>
  <c r="V171" i="48"/>
  <c r="V172" i="48"/>
  <c r="V174" i="48"/>
  <c r="V176" i="48"/>
  <c r="V177" i="48"/>
  <c r="V179" i="48"/>
  <c r="V181" i="48"/>
  <c r="V182" i="48"/>
  <c r="V184" i="48"/>
  <c r="V186" i="48"/>
  <c r="V187" i="48"/>
  <c r="V189" i="48"/>
  <c r="V191" i="48"/>
  <c r="V192" i="48"/>
  <c r="V194" i="48"/>
  <c r="V196" i="48"/>
  <c r="V197" i="48"/>
  <c r="V199" i="48"/>
  <c r="V201" i="48"/>
  <c r="V202" i="48"/>
  <c r="V204" i="48"/>
  <c r="V205" i="48"/>
  <c r="V206" i="48"/>
  <c r="V207" i="48"/>
  <c r="V211" i="48"/>
  <c r="V212" i="48"/>
  <c r="V214" i="48"/>
  <c r="V215" i="48"/>
  <c r="V217" i="48"/>
  <c r="V219" i="48"/>
  <c r="V220" i="48"/>
  <c r="V222" i="48"/>
  <c r="V223" i="48"/>
  <c r="V225" i="48"/>
  <c r="V226" i="48"/>
  <c r="V227" i="48"/>
  <c r="V228" i="48"/>
  <c r="V230" i="48"/>
  <c r="V231" i="48"/>
  <c r="V232" i="48"/>
  <c r="V234" i="48"/>
  <c r="V235" i="48"/>
  <c r="V237" i="48"/>
  <c r="V238" i="48"/>
  <c r="V239" i="48"/>
  <c r="V243" i="48"/>
  <c r="V244" i="48"/>
  <c r="V245" i="48"/>
  <c r="V246" i="48"/>
  <c r="V248" i="48"/>
  <c r="V249" i="48"/>
  <c r="V250" i="48"/>
  <c r="V251" i="48"/>
  <c r="V253" i="48"/>
  <c r="V254" i="48"/>
  <c r="V256" i="48"/>
  <c r="V257" i="48"/>
  <c r="V258" i="48"/>
  <c r="V262" i="48"/>
  <c r="V263" i="48"/>
  <c r="V265" i="48"/>
  <c r="V266" i="48"/>
  <c r="V268" i="48"/>
  <c r="V269" i="48"/>
  <c r="V271" i="48"/>
  <c r="V272" i="48"/>
  <c r="V273" i="48"/>
  <c r="V274" i="48"/>
  <c r="V275" i="48"/>
  <c r="V276" i="48"/>
  <c r="V278" i="48"/>
  <c r="V279" i="48"/>
  <c r="V280" i="48"/>
  <c r="V282" i="48"/>
  <c r="V284" i="48"/>
  <c r="V285" i="48"/>
  <c r="V286" i="48"/>
  <c r="V288" i="48"/>
  <c r="V290" i="48"/>
  <c r="V291" i="48"/>
  <c r="V293" i="48"/>
  <c r="V294" i="48"/>
  <c r="V295" i="48"/>
  <c r="V296" i="48"/>
  <c r="V298" i="48"/>
  <c r="V299" i="48"/>
  <c r="V301" i="48"/>
  <c r="V302" i="48"/>
  <c r="V303" i="48"/>
  <c r="V304" i="48"/>
  <c r="V306" i="48"/>
  <c r="V308" i="48"/>
  <c r="V309" i="48"/>
  <c r="V311" i="48"/>
  <c r="V312" i="48"/>
  <c r="V314" i="48"/>
  <c r="V316" i="48"/>
  <c r="V317" i="48"/>
  <c r="V318" i="48"/>
  <c r="V320" i="48"/>
  <c r="V321" i="48"/>
  <c r="V322" i="48"/>
  <c r="V323" i="48"/>
  <c r="V325" i="48"/>
  <c r="V326" i="48"/>
  <c r="V327" i="48"/>
  <c r="V328" i="48"/>
  <c r="V330" i="48"/>
  <c r="V333" i="48"/>
  <c r="V334" i="48"/>
  <c r="V336" i="48"/>
  <c r="V337" i="48"/>
  <c r="V338" i="48"/>
  <c r="V339" i="48"/>
  <c r="V341" i="48"/>
  <c r="V342" i="48"/>
  <c r="V343" i="48"/>
  <c r="V344" i="48"/>
  <c r="V346" i="48"/>
  <c r="V347" i="48"/>
  <c r="V348" i="48"/>
  <c r="V349" i="48"/>
  <c r="V351" i="48"/>
  <c r="V352" i="48"/>
  <c r="V354" i="48"/>
  <c r="V355" i="48"/>
  <c r="V357" i="48"/>
  <c r="V358" i="48"/>
  <c r="V359" i="48"/>
  <c r="V360" i="48"/>
  <c r="V362" i="48"/>
  <c r="V363" i="48" s="1"/>
  <c r="V364" i="48"/>
  <c r="V365" i="48"/>
  <c r="Y367" i="48"/>
  <c r="R13" i="47" s="1"/>
  <c r="AK367" i="48"/>
  <c r="AD13" i="47" s="1"/>
  <c r="X367" i="48"/>
  <c r="Q13" i="47" s="1"/>
  <c r="AJ367" i="48"/>
  <c r="AC13" i="47" s="1"/>
  <c r="AI367" i="48"/>
  <c r="AB13" i="47" s="1"/>
  <c r="U367" i="48"/>
  <c r="N13" i="47" s="1"/>
  <c r="T367" i="48"/>
  <c r="M13" i="47" s="1"/>
  <c r="AF367" i="48"/>
  <c r="Y13" i="47" s="1"/>
  <c r="R367" i="48"/>
  <c r="K13" i="47" s="1"/>
  <c r="AH367" i="48"/>
  <c r="AA13" i="47" s="1"/>
  <c r="W367" i="48"/>
  <c r="P13" i="47" s="1"/>
  <c r="Q367" i="48"/>
  <c r="J13" i="47" s="1"/>
  <c r="S367" i="48"/>
  <c r="L13" i="47" s="1"/>
  <c r="AG367" i="48"/>
  <c r="Z13" i="47" s="1"/>
  <c r="AL155" i="48"/>
  <c r="AB331" i="48"/>
  <c r="AP331" i="48" s="1"/>
  <c r="AA331" i="48"/>
  <c r="V241" i="48"/>
  <c r="V242" i="48" s="1"/>
  <c r="V209" i="48"/>
  <c r="V210" i="48" s="1"/>
  <c r="V260" i="48"/>
  <c r="V261" i="48" s="1"/>
  <c r="P380" i="48"/>
  <c r="AO178" i="48"/>
  <c r="AS92" i="48"/>
  <c r="V12" i="48"/>
  <c r="V13" i="48" s="1"/>
  <c r="AO329" i="48"/>
  <c r="AG372" i="48"/>
  <c r="P372" i="48"/>
  <c r="Z13" i="48"/>
  <c r="AO158" i="48"/>
  <c r="Z86" i="48"/>
  <c r="AS71" i="48"/>
  <c r="AS150" i="48"/>
  <c r="P378" i="48"/>
  <c r="AS296" i="48"/>
  <c r="P373" i="48"/>
  <c r="P374" i="48"/>
  <c r="AO167" i="48"/>
  <c r="AS344" i="48"/>
  <c r="P379" i="48"/>
  <c r="P371" i="48"/>
  <c r="AO183" i="48"/>
  <c r="AS148" i="48"/>
  <c r="AS136" i="48"/>
  <c r="AS31" i="48"/>
  <c r="AS113" i="48"/>
  <c r="AO27" i="48"/>
  <c r="P377" i="48"/>
  <c r="AS304" i="48"/>
  <c r="AS258" i="48"/>
  <c r="AO255" i="48"/>
  <c r="AS207" i="48"/>
  <c r="AS202" i="48"/>
  <c r="AO39" i="48"/>
  <c r="AS21" i="48"/>
  <c r="AS199" i="48"/>
  <c r="AS171" i="48"/>
  <c r="AS147" i="48"/>
  <c r="AS116" i="48"/>
  <c r="AS100" i="48"/>
  <c r="AS204" i="48"/>
  <c r="AS177" i="48"/>
  <c r="AS311" i="48"/>
  <c r="AO163" i="48"/>
  <c r="AO261" i="48"/>
  <c r="AS256" i="48"/>
  <c r="AS162" i="48"/>
  <c r="AS294" i="48"/>
  <c r="AS214" i="48"/>
  <c r="AS50" i="48"/>
  <c r="AS333" i="48"/>
  <c r="AS312" i="48"/>
  <c r="AO270" i="48"/>
  <c r="AS80" i="48"/>
  <c r="AS331" i="48"/>
  <c r="AO300" i="48"/>
  <c r="AS225" i="48"/>
  <c r="AS359" i="48"/>
  <c r="AS290" i="48"/>
  <c r="AS351" i="48"/>
  <c r="AS341" i="48"/>
  <c r="AS316" i="48"/>
  <c r="AS215" i="48"/>
  <c r="AS109" i="48"/>
  <c r="AS107" i="48"/>
  <c r="AO56" i="48"/>
  <c r="AS323" i="48"/>
  <c r="AS260" i="48"/>
  <c r="AS261" i="48" s="1"/>
  <c r="AS234" i="48"/>
  <c r="AO213" i="48"/>
  <c r="AS88" i="48"/>
  <c r="AS298" i="48"/>
  <c r="AS268" i="48"/>
  <c r="AS87" i="48"/>
  <c r="AS82" i="48"/>
  <c r="AS118" i="48"/>
  <c r="AS360" i="48"/>
  <c r="AS358" i="48"/>
  <c r="AS334" i="48"/>
  <c r="AS327" i="48"/>
  <c r="AO305" i="48"/>
  <c r="AS59" i="48"/>
  <c r="AS275" i="48"/>
  <c r="AS273" i="48"/>
  <c r="AS205" i="48"/>
  <c r="AS349" i="48"/>
  <c r="AS321" i="48"/>
  <c r="AS284" i="48"/>
  <c r="AO125" i="48"/>
  <c r="AS111" i="48"/>
  <c r="AS46" i="48"/>
  <c r="AS19" i="48"/>
  <c r="AS74" i="48"/>
  <c r="AS32" i="48"/>
  <c r="AS133" i="48"/>
  <c r="AS126" i="48"/>
  <c r="AO83" i="48"/>
  <c r="AS73" i="48"/>
  <c r="AO30" i="48"/>
  <c r="Y370" i="48"/>
  <c r="M370" i="48"/>
  <c r="AO366" i="48"/>
  <c r="AS357" i="48"/>
  <c r="AO356" i="48"/>
  <c r="AS325" i="48"/>
  <c r="AS314" i="48"/>
  <c r="AS276" i="48"/>
  <c r="U370" i="48"/>
  <c r="T370" i="48"/>
  <c r="S370" i="48"/>
  <c r="L370" i="48"/>
  <c r="AN331" i="48"/>
  <c r="AS322" i="48"/>
  <c r="AS246" i="48"/>
  <c r="AF370" i="48"/>
  <c r="Q370" i="48"/>
  <c r="I370" i="48"/>
  <c r="AS336" i="48"/>
  <c r="X370" i="48"/>
  <c r="J370" i="48"/>
  <c r="AJ370" i="48"/>
  <c r="W370" i="48"/>
  <c r="AO345" i="48"/>
  <c r="AS272" i="48"/>
  <c r="AS239" i="48"/>
  <c r="R370" i="48"/>
  <c r="AS343" i="48"/>
  <c r="AS291" i="48"/>
  <c r="AS271" i="48"/>
  <c r="O370" i="48"/>
  <c r="AS348" i="48"/>
  <c r="AS295" i="48"/>
  <c r="AS288" i="48"/>
  <c r="AS286" i="48"/>
  <c r="AS285" i="48"/>
  <c r="AS274" i="48"/>
  <c r="AS330" i="48"/>
  <c r="AS317" i="48"/>
  <c r="AS303" i="48"/>
  <c r="AS302" i="48"/>
  <c r="AS280" i="48"/>
  <c r="AO242" i="48"/>
  <c r="AS269" i="48"/>
  <c r="AS257" i="48"/>
  <c r="AS134" i="48"/>
  <c r="AS347" i="48"/>
  <c r="AS318" i="48"/>
  <c r="AS299" i="48"/>
  <c r="AS238" i="48"/>
  <c r="AS187" i="48"/>
  <c r="AS244" i="48"/>
  <c r="AS235" i="48"/>
  <c r="AS170" i="48"/>
  <c r="AS151" i="48"/>
  <c r="AS237" i="48"/>
  <c r="AS212" i="48"/>
  <c r="AS140" i="48"/>
  <c r="AS97" i="48"/>
  <c r="AS232" i="48"/>
  <c r="AS44" i="48"/>
  <c r="AS266" i="48"/>
  <c r="AS245" i="48"/>
  <c r="AS62" i="48"/>
  <c r="AO221" i="48"/>
  <c r="AO198" i="48"/>
  <c r="AS102" i="48"/>
  <c r="AS201" i="48"/>
  <c r="AS189" i="48"/>
  <c r="AS186" i="48"/>
  <c r="AS172" i="48"/>
  <c r="AS119" i="48"/>
  <c r="AS108" i="48"/>
  <c r="AS105" i="48"/>
  <c r="AS67" i="48"/>
  <c r="AO120" i="48"/>
  <c r="AS184" i="48"/>
  <c r="AS159" i="48"/>
  <c r="AS35" i="48"/>
  <c r="AS34" i="48"/>
  <c r="AS168" i="48"/>
  <c r="AO130" i="48"/>
  <c r="AS53" i="48"/>
  <c r="AS139" i="48"/>
  <c r="AS131" i="48"/>
  <c r="AS103" i="48"/>
  <c r="AS52" i="48"/>
  <c r="AS129" i="48"/>
  <c r="AS99" i="48"/>
  <c r="AS128" i="48"/>
  <c r="AS96" i="48"/>
  <c r="AS18" i="48"/>
  <c r="AS114" i="48"/>
  <c r="AO75" i="48"/>
  <c r="AO45" i="48"/>
  <c r="AS22" i="48"/>
  <c r="AS14" i="48"/>
  <c r="AO60" i="48"/>
  <c r="AS38" i="48"/>
  <c r="AS37" i="48"/>
  <c r="AS23" i="48"/>
  <c r="AS365" i="48"/>
  <c r="AI370" i="48"/>
  <c r="AH370" i="48"/>
  <c r="AK370" i="48"/>
  <c r="AS355" i="48"/>
  <c r="AS354" i="48"/>
  <c r="AS309" i="48"/>
  <c r="AS308" i="48"/>
  <c r="AS352" i="48"/>
  <c r="AS339" i="48"/>
  <c r="AS338" i="48"/>
  <c r="AS337" i="48"/>
  <c r="AS326" i="48"/>
  <c r="AC331" i="48"/>
  <c r="AQ331" i="48" s="1"/>
  <c r="AS328" i="48"/>
  <c r="AO310" i="48"/>
  <c r="AS263" i="48"/>
  <c r="AS279" i="48"/>
  <c r="AS254" i="48"/>
  <c r="AS251" i="48"/>
  <c r="AS219" i="48"/>
  <c r="AS231" i="48"/>
  <c r="AS228" i="48"/>
  <c r="AS223" i="48"/>
  <c r="AS250" i="48"/>
  <c r="AS249" i="48"/>
  <c r="AS196" i="48"/>
  <c r="AS182" i="48"/>
  <c r="AS227" i="48"/>
  <c r="AS220" i="48"/>
  <c r="AS181" i="48"/>
  <c r="AS197" i="48"/>
  <c r="AS144" i="48"/>
  <c r="AS192" i="48"/>
  <c r="AS191" i="48"/>
  <c r="AS165" i="48"/>
  <c r="AS176" i="48"/>
  <c r="AS166" i="48"/>
  <c r="AS157" i="48"/>
  <c r="AS145" i="48"/>
  <c r="AO91" i="48"/>
  <c r="AS156" i="48"/>
  <c r="AS123" i="48"/>
  <c r="AS161" i="48"/>
  <c r="AO78" i="48"/>
  <c r="AS85" i="48"/>
  <c r="AS95" i="48"/>
  <c r="AS77" i="48"/>
  <c r="AS57" i="48"/>
  <c r="AS65" i="48"/>
  <c r="AS58" i="48"/>
  <c r="AS47" i="48"/>
  <c r="AS29" i="48"/>
  <c r="AS26" i="48"/>
  <c r="AS16" i="48"/>
  <c r="V366" i="48" l="1"/>
  <c r="V255" i="48"/>
  <c r="AE331" i="48"/>
  <c r="V281" i="48"/>
  <c r="V264" i="48"/>
  <c r="V221" i="48"/>
  <c r="V163" i="48"/>
  <c r="V39" i="48"/>
  <c r="V115" i="48"/>
  <c r="V81" i="48"/>
  <c r="V72" i="48"/>
  <c r="V63" i="48"/>
  <c r="V78" i="48"/>
  <c r="V69" i="48"/>
  <c r="V270" i="48"/>
  <c r="V216" i="48"/>
  <c r="V329" i="48"/>
  <c r="V287" i="48"/>
  <c r="V259" i="48"/>
  <c r="V252" i="48"/>
  <c r="V233" i="48"/>
  <c r="V224" i="48"/>
  <c r="V167" i="48"/>
  <c r="V141" i="48"/>
  <c r="V130" i="48"/>
  <c r="V120" i="48"/>
  <c r="V54" i="48"/>
  <c r="V51" i="48"/>
  <c r="V86" i="48"/>
  <c r="V60" i="48"/>
  <c r="V30" i="48"/>
  <c r="V361" i="48"/>
  <c r="V345" i="48"/>
  <c r="V310" i="48"/>
  <c r="V300" i="48"/>
  <c r="V267" i="48"/>
  <c r="V213" i="48"/>
  <c r="V158" i="48"/>
  <c r="V110" i="48"/>
  <c r="V89" i="48"/>
  <c r="V33" i="48"/>
  <c r="V17" i="48"/>
  <c r="V335" i="48"/>
  <c r="V319" i="48"/>
  <c r="V292" i="48"/>
  <c r="V203" i="48"/>
  <c r="V193" i="48"/>
  <c r="V183" i="48"/>
  <c r="V146" i="48"/>
  <c r="V98" i="48"/>
  <c r="V24" i="48"/>
  <c r="V350" i="48"/>
  <c r="V277" i="48"/>
  <c r="V240" i="48"/>
  <c r="V173" i="48"/>
  <c r="V135" i="48"/>
  <c r="V125" i="48"/>
  <c r="V324" i="48"/>
  <c r="V313" i="48"/>
  <c r="V247" i="48"/>
  <c r="V229" i="48"/>
  <c r="V94" i="48"/>
  <c r="V75" i="48"/>
  <c r="V66" i="48"/>
  <c r="V48" i="48"/>
  <c r="V20" i="48"/>
  <c r="V356" i="48"/>
  <c r="V340" i="48"/>
  <c r="AN301" i="48"/>
  <c r="V305" i="48"/>
  <c r="V297" i="48"/>
  <c r="V208" i="48"/>
  <c r="V198" i="48"/>
  <c r="V188" i="48"/>
  <c r="V178" i="48"/>
  <c r="V152" i="48"/>
  <c r="V104" i="48"/>
  <c r="V36" i="48"/>
  <c r="V27" i="48"/>
  <c r="P368" i="48"/>
  <c r="Z368" i="48"/>
  <c r="AL368" i="48"/>
  <c r="P369" i="48"/>
  <c r="Z369" i="48"/>
  <c r="I369" i="48"/>
  <c r="AB166" i="48"/>
  <c r="AA166" i="48"/>
  <c r="AB171" i="48"/>
  <c r="AP171" i="48" s="1"/>
  <c r="AA171" i="48"/>
  <c r="AB174" i="48"/>
  <c r="AA174" i="48"/>
  <c r="AB182" i="48"/>
  <c r="AA182" i="48"/>
  <c r="AA197" i="48"/>
  <c r="AB197" i="48"/>
  <c r="AP197" i="48" s="1"/>
  <c r="AA205" i="48"/>
  <c r="AB205" i="48"/>
  <c r="AP205" i="48" s="1"/>
  <c r="AB274" i="48"/>
  <c r="AP274" i="48" s="1"/>
  <c r="AA274" i="48"/>
  <c r="AA280" i="48"/>
  <c r="AB280" i="48"/>
  <c r="AP280" i="48" s="1"/>
  <c r="AB286" i="48"/>
  <c r="AP286" i="48" s="1"/>
  <c r="AA286" i="48"/>
  <c r="AB302" i="48"/>
  <c r="AP302" i="48" s="1"/>
  <c r="AA302" i="48"/>
  <c r="AB164" i="48"/>
  <c r="AA164" i="48"/>
  <c r="AA15" i="48"/>
  <c r="AB15" i="48"/>
  <c r="AP15" i="48" s="1"/>
  <c r="AN16" i="48"/>
  <c r="AB16" i="48"/>
  <c r="AP16" i="48" s="1"/>
  <c r="AA16" i="48"/>
  <c r="AB26" i="48"/>
  <c r="AP26" i="48" s="1"/>
  <c r="AA26" i="48"/>
  <c r="AA28" i="48"/>
  <c r="AB28" i="48"/>
  <c r="AA44" i="48"/>
  <c r="AB44" i="48"/>
  <c r="AB52" i="48"/>
  <c r="AP52" i="48" s="1"/>
  <c r="AA52" i="48"/>
  <c r="AA59" i="48"/>
  <c r="AB59" i="48"/>
  <c r="AP59" i="48" s="1"/>
  <c r="AB67" i="48"/>
  <c r="AA67" i="48"/>
  <c r="AA165" i="48"/>
  <c r="AB165" i="48"/>
  <c r="AA172" i="48"/>
  <c r="AB172" i="48"/>
  <c r="AP172" i="48" s="1"/>
  <c r="AB179" i="48"/>
  <c r="AA179" i="48"/>
  <c r="AB181" i="48"/>
  <c r="AP181" i="48" s="1"/>
  <c r="AA181" i="48"/>
  <c r="AB187" i="48"/>
  <c r="AA187" i="48"/>
  <c r="AA189" i="48"/>
  <c r="AB189" i="48"/>
  <c r="AB196" i="48"/>
  <c r="AP196" i="48" s="1"/>
  <c r="AA196" i="48"/>
  <c r="AA204" i="48"/>
  <c r="AB204" i="48"/>
  <c r="AB212" i="48"/>
  <c r="AP212" i="48" s="1"/>
  <c r="AA212" i="48"/>
  <c r="AB219" i="48"/>
  <c r="AP219" i="48" s="1"/>
  <c r="AA219" i="48"/>
  <c r="AB220" i="48"/>
  <c r="AP220" i="48" s="1"/>
  <c r="AA220" i="48"/>
  <c r="AB226" i="48"/>
  <c r="AA226" i="48"/>
  <c r="AB235" i="48"/>
  <c r="AP235" i="48" s="1"/>
  <c r="AA235" i="48"/>
  <c r="AB244" i="48"/>
  <c r="AP244" i="48" s="1"/>
  <c r="AA244" i="48"/>
  <c r="AA249" i="48"/>
  <c r="AB249" i="48"/>
  <c r="AA256" i="48"/>
  <c r="AB256" i="48"/>
  <c r="AB266" i="48"/>
  <c r="AA266" i="48"/>
  <c r="AC273" i="48"/>
  <c r="AQ273" i="48" s="1"/>
  <c r="AB273" i="48"/>
  <c r="AP273" i="48" s="1"/>
  <c r="AA273" i="48"/>
  <c r="AA288" i="48"/>
  <c r="AB288" i="48"/>
  <c r="AB309" i="48"/>
  <c r="AP309" i="48" s="1"/>
  <c r="AA309" i="48"/>
  <c r="AA317" i="48"/>
  <c r="AB317" i="48"/>
  <c r="AA323" i="48"/>
  <c r="AB323" i="48"/>
  <c r="AP323" i="48" s="1"/>
  <c r="AA330" i="48"/>
  <c r="AB330" i="48"/>
  <c r="AA338" i="48"/>
  <c r="AB338" i="48"/>
  <c r="AP338" i="48" s="1"/>
  <c r="AA339" i="48"/>
  <c r="AB339" i="48"/>
  <c r="AP339" i="48" s="1"/>
  <c r="AA344" i="48"/>
  <c r="AB344" i="48"/>
  <c r="AP344" i="48" s="1"/>
  <c r="AB351" i="48"/>
  <c r="AA351" i="48"/>
  <c r="AB359" i="48"/>
  <c r="AP359" i="48" s="1"/>
  <c r="AA359" i="48"/>
  <c r="AA14" i="48"/>
  <c r="AB14" i="48"/>
  <c r="AA18" i="48"/>
  <c r="AB18" i="48"/>
  <c r="AB19" i="48"/>
  <c r="AP19" i="48" s="1"/>
  <c r="AA19" i="48"/>
  <c r="AB21" i="48"/>
  <c r="AA21" i="48"/>
  <c r="AB22" i="48"/>
  <c r="AP22" i="48" s="1"/>
  <c r="AA22" i="48"/>
  <c r="AA25" i="48"/>
  <c r="AB25" i="48"/>
  <c r="AA29" i="48"/>
  <c r="AB29" i="48"/>
  <c r="AP29" i="48" s="1"/>
  <c r="AC31" i="48"/>
  <c r="AB31" i="48"/>
  <c r="AP31" i="48" s="1"/>
  <c r="AA31" i="48"/>
  <c r="AA32" i="48"/>
  <c r="AB32" i="48"/>
  <c r="AP32" i="48" s="1"/>
  <c r="AB34" i="48"/>
  <c r="AA34" i="48"/>
  <c r="AA35" i="48"/>
  <c r="AB35" i="48"/>
  <c r="AP35" i="48" s="1"/>
  <c r="AC35" i="48"/>
  <c r="AQ35" i="48" s="1"/>
  <c r="AB37" i="48"/>
  <c r="AA37" i="48"/>
  <c r="AB38" i="48"/>
  <c r="AP38" i="48" s="1"/>
  <c r="AA38" i="48"/>
  <c r="AA40" i="48"/>
  <c r="AB40" i="48"/>
  <c r="AB42" i="48"/>
  <c r="AP42" i="48" s="1"/>
  <c r="AA42" i="48"/>
  <c r="AB46" i="48"/>
  <c r="AA46" i="48"/>
  <c r="AA47" i="48"/>
  <c r="AB47" i="48"/>
  <c r="AB50" i="48"/>
  <c r="AP50" i="48" s="1"/>
  <c r="AA50" i="48"/>
  <c r="AB53" i="48"/>
  <c r="AA53" i="48"/>
  <c r="AC53" i="48"/>
  <c r="AQ53" i="48" s="1"/>
  <c r="AA55" i="48"/>
  <c r="AB55" i="48"/>
  <c r="AB58" i="48"/>
  <c r="AP58" i="48" s="1"/>
  <c r="AA58" i="48"/>
  <c r="AA61" i="48"/>
  <c r="AB61" i="48"/>
  <c r="AA62" i="48"/>
  <c r="AB62" i="48"/>
  <c r="AA68" i="48"/>
  <c r="AB68" i="48"/>
  <c r="AA70" i="48"/>
  <c r="AB70" i="48"/>
  <c r="AA71" i="48"/>
  <c r="AB71" i="48"/>
  <c r="AP71" i="48" s="1"/>
  <c r="AA74" i="48"/>
  <c r="AB74" i="48"/>
  <c r="AP74" i="48" s="1"/>
  <c r="AA76" i="48"/>
  <c r="AB76" i="48"/>
  <c r="AA77" i="48"/>
  <c r="AB77" i="48"/>
  <c r="AP77" i="48" s="1"/>
  <c r="AB79" i="48"/>
  <c r="AA79" i="48"/>
  <c r="AB82" i="48"/>
  <c r="AA82" i="48"/>
  <c r="AB84" i="48"/>
  <c r="AA84" i="48"/>
  <c r="AB85" i="48"/>
  <c r="AA85" i="48"/>
  <c r="AB87" i="48"/>
  <c r="AP87" i="48" s="1"/>
  <c r="AA87" i="48"/>
  <c r="AA90" i="48"/>
  <c r="AB90" i="48"/>
  <c r="AA92" i="48"/>
  <c r="AB92" i="48"/>
  <c r="AB93" i="48"/>
  <c r="AA93" i="48"/>
  <c r="AA95" i="48"/>
  <c r="AB95" i="48"/>
  <c r="AA99" i="48"/>
  <c r="AB99" i="48"/>
  <c r="AA100" i="48"/>
  <c r="AB100" i="48"/>
  <c r="AA102" i="48"/>
  <c r="AB102" i="48"/>
  <c r="AP102" i="48" s="1"/>
  <c r="AA107" i="48"/>
  <c r="AB107" i="48"/>
  <c r="AP107" i="48" s="1"/>
  <c r="AB108" i="48"/>
  <c r="AP108" i="48" s="1"/>
  <c r="AA108" i="48"/>
  <c r="AB109" i="48"/>
  <c r="AA109" i="48"/>
  <c r="AA114" i="48"/>
  <c r="AB114" i="48"/>
  <c r="AB116" i="48"/>
  <c r="AA116" i="48"/>
  <c r="AB118" i="48"/>
  <c r="AP118" i="48" s="1"/>
  <c r="AA118" i="48"/>
  <c r="AB123" i="48"/>
  <c r="AP123" i="48" s="1"/>
  <c r="AA123" i="48"/>
  <c r="AB124" i="48"/>
  <c r="AP124" i="48" s="1"/>
  <c r="AA124" i="48"/>
  <c r="AB126" i="48"/>
  <c r="AA126" i="48"/>
  <c r="AA131" i="48"/>
  <c r="AB131" i="48"/>
  <c r="AB133" i="48"/>
  <c r="AP133" i="48" s="1"/>
  <c r="AA133" i="48"/>
  <c r="AB134" i="48"/>
  <c r="AP134" i="48" s="1"/>
  <c r="AA134" i="48"/>
  <c r="AB140" i="48"/>
  <c r="AP140" i="48" s="1"/>
  <c r="AA140" i="48"/>
  <c r="AA142" i="48"/>
  <c r="AB142" i="48"/>
  <c r="AB144" i="48"/>
  <c r="AP144" i="48" s="1"/>
  <c r="AA144" i="48"/>
  <c r="AA148" i="48"/>
  <c r="AB148" i="48"/>
  <c r="AP148" i="48" s="1"/>
  <c r="AC150" i="48"/>
  <c r="AQ150" i="48" s="1"/>
  <c r="AA150" i="48"/>
  <c r="AB150" i="48"/>
  <c r="AP150" i="48" s="1"/>
  <c r="AB151" i="48"/>
  <c r="AP151" i="48" s="1"/>
  <c r="AC151" i="48"/>
  <c r="AQ151" i="48" s="1"/>
  <c r="AA151" i="48"/>
  <c r="AA156" i="48"/>
  <c r="AB156" i="48"/>
  <c r="AA157" i="48"/>
  <c r="AB157" i="48"/>
  <c r="AB159" i="48"/>
  <c r="AA159" i="48"/>
  <c r="AA211" i="48"/>
  <c r="AB211" i="48"/>
  <c r="AA227" i="48"/>
  <c r="AB227" i="48"/>
  <c r="AP227" i="48" s="1"/>
  <c r="AA234" i="48"/>
  <c r="AB234" i="48"/>
  <c r="AA243" i="48"/>
  <c r="AB243" i="48"/>
  <c r="AB250" i="48"/>
  <c r="AA250" i="48"/>
  <c r="AC257" i="48"/>
  <c r="AQ257" i="48" s="1"/>
  <c r="AB257" i="48"/>
  <c r="AP257" i="48" s="1"/>
  <c r="AA257" i="48"/>
  <c r="AN265" i="48"/>
  <c r="AA265" i="48"/>
  <c r="AB265" i="48"/>
  <c r="AP265" i="48" s="1"/>
  <c r="AC272" i="48"/>
  <c r="AQ272" i="48" s="1"/>
  <c r="AA272" i="48"/>
  <c r="AB272" i="48"/>
  <c r="AP272" i="48" s="1"/>
  <c r="AB279" i="48"/>
  <c r="AP279" i="48" s="1"/>
  <c r="AA279" i="48"/>
  <c r="AC295" i="48"/>
  <c r="AQ295" i="48" s="1"/>
  <c r="AB295" i="48"/>
  <c r="AP295" i="48" s="1"/>
  <c r="AA295" i="48"/>
  <c r="AA301" i="48"/>
  <c r="AB301" i="48"/>
  <c r="AP301" i="48" s="1"/>
  <c r="AA308" i="48"/>
  <c r="AB308" i="48"/>
  <c r="AA23" i="48"/>
  <c r="AB23" i="48"/>
  <c r="AP23" i="48" s="1"/>
  <c r="AA49" i="48"/>
  <c r="AB49" i="48"/>
  <c r="AA57" i="48"/>
  <c r="AB57" i="48"/>
  <c r="AB64" i="48"/>
  <c r="AA64" i="48"/>
  <c r="AA65" i="48"/>
  <c r="AB65" i="48"/>
  <c r="AP65" i="48" s="1"/>
  <c r="AB73" i="48"/>
  <c r="AA73" i="48"/>
  <c r="AB80" i="48"/>
  <c r="AP80" i="48" s="1"/>
  <c r="AA80" i="48"/>
  <c r="AB88" i="48"/>
  <c r="AP88" i="48" s="1"/>
  <c r="AA88" i="48"/>
  <c r="AB96" i="48"/>
  <c r="AP96" i="48" s="1"/>
  <c r="AA96" i="48"/>
  <c r="AA97" i="48"/>
  <c r="AB97" i="48"/>
  <c r="AP97" i="48" s="1"/>
  <c r="AB103" i="48"/>
  <c r="AA103" i="48"/>
  <c r="AA105" i="48"/>
  <c r="AB105" i="48"/>
  <c r="AB111" i="48"/>
  <c r="AA111" i="48"/>
  <c r="AB113" i="48"/>
  <c r="AP113" i="48" s="1"/>
  <c r="AA113" i="48"/>
  <c r="AB119" i="48"/>
  <c r="AA119" i="48"/>
  <c r="AA121" i="48"/>
  <c r="AB121" i="48"/>
  <c r="AB128" i="48"/>
  <c r="AP128" i="48" s="1"/>
  <c r="AA128" i="48"/>
  <c r="AB129" i="48"/>
  <c r="AP129" i="48" s="1"/>
  <c r="AA129" i="48"/>
  <c r="AB136" i="48"/>
  <c r="AA136" i="48"/>
  <c r="AB138" i="48"/>
  <c r="AP138" i="48" s="1"/>
  <c r="AA138" i="48"/>
  <c r="AA139" i="48"/>
  <c r="AB139" i="48"/>
  <c r="AP139" i="48" s="1"/>
  <c r="AA145" i="48"/>
  <c r="AB145" i="48"/>
  <c r="AP145" i="48" s="1"/>
  <c r="AB147" i="48"/>
  <c r="AA147" i="48"/>
  <c r="AA153" i="48"/>
  <c r="AB153" i="48"/>
  <c r="AB155" i="48"/>
  <c r="AA155" i="48"/>
  <c r="AB161" i="48"/>
  <c r="AP161" i="48" s="1"/>
  <c r="AA161" i="48"/>
  <c r="AC162" i="48"/>
  <c r="AQ162" i="48" s="1"/>
  <c r="AB162" i="48"/>
  <c r="AP162" i="48" s="1"/>
  <c r="AA162" i="48"/>
  <c r="AB168" i="48"/>
  <c r="AA168" i="48"/>
  <c r="AB170" i="48"/>
  <c r="AP170" i="48" s="1"/>
  <c r="AA170" i="48"/>
  <c r="AB176" i="48"/>
  <c r="AP176" i="48" s="1"/>
  <c r="AA176" i="48"/>
  <c r="AB177" i="48"/>
  <c r="AP177" i="48" s="1"/>
  <c r="AA177" i="48"/>
  <c r="AA184" i="48"/>
  <c r="AB184" i="48"/>
  <c r="AB186" i="48"/>
  <c r="AP186" i="48" s="1"/>
  <c r="AA186" i="48"/>
  <c r="AB191" i="48"/>
  <c r="AP191" i="48" s="1"/>
  <c r="AA191" i="48"/>
  <c r="AA192" i="48"/>
  <c r="AB192" i="48"/>
  <c r="AP192" i="48" s="1"/>
  <c r="AA194" i="48"/>
  <c r="AB194" i="48"/>
  <c r="AB199" i="48"/>
  <c r="AA199" i="48"/>
  <c r="AB201" i="48"/>
  <c r="AA201" i="48"/>
  <c r="AA202" i="48"/>
  <c r="AB202" i="48"/>
  <c r="AP202" i="48" s="1"/>
  <c r="AC202" i="48"/>
  <c r="AQ202" i="48" s="1"/>
  <c r="AB206" i="48"/>
  <c r="AP206" i="48" s="1"/>
  <c r="AA206" i="48"/>
  <c r="AB207" i="48"/>
  <c r="AP207" i="48" s="1"/>
  <c r="AA207" i="48"/>
  <c r="AN214" i="48"/>
  <c r="AB214" i="48"/>
  <c r="AP214" i="48" s="1"/>
  <c r="AA214" i="48"/>
  <c r="AB215" i="48"/>
  <c r="AA215" i="48"/>
  <c r="AB217" i="48"/>
  <c r="AA217" i="48"/>
  <c r="AB222" i="48"/>
  <c r="AA222" i="48"/>
  <c r="AA223" i="48"/>
  <c r="AB223" i="48"/>
  <c r="AB225" i="48"/>
  <c r="AA225" i="48"/>
  <c r="AB228" i="48"/>
  <c r="AP228" i="48" s="1"/>
  <c r="AA228" i="48"/>
  <c r="AB230" i="48"/>
  <c r="AA230" i="48"/>
  <c r="AA231" i="48"/>
  <c r="AB231" i="48"/>
  <c r="AP231" i="48" s="1"/>
  <c r="AA232" i="48"/>
  <c r="AB232" i="48"/>
  <c r="AP232" i="48" s="1"/>
  <c r="AB237" i="48"/>
  <c r="AP237" i="48" s="1"/>
  <c r="AA237" i="48"/>
  <c r="AA238" i="48"/>
  <c r="AB238" i="48"/>
  <c r="AP238" i="48" s="1"/>
  <c r="AA239" i="48"/>
  <c r="AB239" i="48"/>
  <c r="AP239" i="48" s="1"/>
  <c r="AB245" i="48"/>
  <c r="AP245" i="48" s="1"/>
  <c r="AA245" i="48"/>
  <c r="AA246" i="48"/>
  <c r="AB246" i="48"/>
  <c r="AP246" i="48" s="1"/>
  <c r="AA248" i="48"/>
  <c r="AB248" i="48"/>
  <c r="AA251" i="48"/>
  <c r="AB251" i="48"/>
  <c r="AP251" i="48" s="1"/>
  <c r="AA253" i="48"/>
  <c r="AB253" i="48"/>
  <c r="AB254" i="48"/>
  <c r="AP254" i="48" s="1"/>
  <c r="AA254" i="48"/>
  <c r="AB258" i="48"/>
  <c r="AP258" i="48" s="1"/>
  <c r="AA258" i="48"/>
  <c r="AB262" i="48"/>
  <c r="AA262" i="48"/>
  <c r="AA263" i="48"/>
  <c r="AB263" i="48"/>
  <c r="AP263" i="48" s="1"/>
  <c r="AA268" i="48"/>
  <c r="AB268" i="48"/>
  <c r="AB269" i="48"/>
  <c r="AP269" i="48" s="1"/>
  <c r="AA269" i="48"/>
  <c r="AA271" i="48"/>
  <c r="AB271" i="48"/>
  <c r="AB275" i="48"/>
  <c r="AP275" i="48" s="1"/>
  <c r="AA275" i="48"/>
  <c r="AA276" i="48"/>
  <c r="AB276" i="48"/>
  <c r="AP276" i="48" s="1"/>
  <c r="AB278" i="48"/>
  <c r="AA278" i="48"/>
  <c r="AA282" i="48"/>
  <c r="AB282" i="48"/>
  <c r="AB284" i="48"/>
  <c r="AA284" i="48"/>
  <c r="AB285" i="48"/>
  <c r="AP285" i="48" s="1"/>
  <c r="AA285" i="48"/>
  <c r="AA290" i="48"/>
  <c r="AB290" i="48"/>
  <c r="AP290" i="48" s="1"/>
  <c r="AA291" i="48"/>
  <c r="AB291" i="48"/>
  <c r="AP291" i="48" s="1"/>
  <c r="AB293" i="48"/>
  <c r="AA293" i="48"/>
  <c r="AB294" i="48"/>
  <c r="AP294" i="48" s="1"/>
  <c r="AA294" i="48"/>
  <c r="AC294" i="48"/>
  <c r="AQ294" i="48" s="1"/>
  <c r="AA296" i="48"/>
  <c r="AB296" i="48"/>
  <c r="AP296" i="48" s="1"/>
  <c r="AA298" i="48"/>
  <c r="AB298" i="48"/>
  <c r="AA299" i="48"/>
  <c r="AB299" i="48"/>
  <c r="AP299" i="48" s="1"/>
  <c r="AB303" i="48"/>
  <c r="AP303" i="48" s="1"/>
  <c r="AA303" i="48"/>
  <c r="AB304" i="48"/>
  <c r="AP304" i="48" s="1"/>
  <c r="AA304" i="48"/>
  <c r="AA306" i="48"/>
  <c r="AB306" i="48"/>
  <c r="AA311" i="48"/>
  <c r="AB311" i="48"/>
  <c r="AA312" i="48"/>
  <c r="AB312" i="48"/>
  <c r="AA314" i="48"/>
  <c r="AB314" i="48"/>
  <c r="AB316" i="48"/>
  <c r="AP316" i="48" s="1"/>
  <c r="AA316" i="48"/>
  <c r="AA318" i="48"/>
  <c r="AB318" i="48"/>
  <c r="AA320" i="48"/>
  <c r="AB320" i="48"/>
  <c r="AB321" i="48"/>
  <c r="AA321" i="48"/>
  <c r="AA322" i="48"/>
  <c r="AB322" i="48"/>
  <c r="AP322" i="48" s="1"/>
  <c r="AA325" i="48"/>
  <c r="AB325" i="48"/>
  <c r="AB326" i="48"/>
  <c r="AP326" i="48" s="1"/>
  <c r="AA326" i="48"/>
  <c r="AA327" i="48"/>
  <c r="AB327" i="48"/>
  <c r="AP327" i="48" s="1"/>
  <c r="AA328" i="48"/>
  <c r="AB328" i="48"/>
  <c r="AP328" i="48" s="1"/>
  <c r="AA333" i="48"/>
  <c r="AB333" i="48"/>
  <c r="AP333" i="48" s="1"/>
  <c r="AB334" i="48"/>
  <c r="AP334" i="48" s="1"/>
  <c r="AA334" i="48"/>
  <c r="AA336" i="48"/>
  <c r="AB336" i="48"/>
  <c r="AA337" i="48"/>
  <c r="AB337" i="48"/>
  <c r="AP337" i="48" s="1"/>
  <c r="AB341" i="48"/>
  <c r="AP341" i="48" s="1"/>
  <c r="AA341" i="48"/>
  <c r="AB342" i="48"/>
  <c r="AP342" i="48" s="1"/>
  <c r="AA342" i="48"/>
  <c r="AA343" i="48"/>
  <c r="AB343" i="48"/>
  <c r="AP343" i="48" s="1"/>
  <c r="AA346" i="48"/>
  <c r="AB346" i="48"/>
  <c r="AA347" i="48"/>
  <c r="AB347" i="48"/>
  <c r="AB348" i="48"/>
  <c r="AP348" i="48" s="1"/>
  <c r="AA348" i="48"/>
  <c r="AA349" i="48"/>
  <c r="AB349" i="48"/>
  <c r="AP349" i="48" s="1"/>
  <c r="AB352" i="48"/>
  <c r="AA352" i="48"/>
  <c r="AA354" i="48"/>
  <c r="AB354" i="48"/>
  <c r="AP354" i="48" s="1"/>
  <c r="AB355" i="48"/>
  <c r="AP355" i="48" s="1"/>
  <c r="AA355" i="48"/>
  <c r="AB357" i="48"/>
  <c r="AA357" i="48"/>
  <c r="AA358" i="48"/>
  <c r="AB358" i="48"/>
  <c r="AP358" i="48" s="1"/>
  <c r="AA360" i="48"/>
  <c r="AB360" i="48"/>
  <c r="AP360" i="48" s="1"/>
  <c r="AB362" i="48"/>
  <c r="AA362" i="48"/>
  <c r="AB364" i="48"/>
  <c r="AA364" i="48"/>
  <c r="AN364" i="48"/>
  <c r="AA365" i="48"/>
  <c r="AB365" i="48"/>
  <c r="AP365" i="48" s="1"/>
  <c r="AG370" i="48"/>
  <c r="AL369" i="48" s="1"/>
  <c r="P367" i="48"/>
  <c r="I13" i="47" s="1"/>
  <c r="AA260" i="48"/>
  <c r="AB260" i="48"/>
  <c r="AA209" i="48"/>
  <c r="AB209" i="48"/>
  <c r="AA241" i="48"/>
  <c r="AB241" i="48"/>
  <c r="AC348" i="48"/>
  <c r="AQ348" i="48" s="1"/>
  <c r="AC296" i="48"/>
  <c r="AQ296" i="48" s="1"/>
  <c r="AN348" i="48"/>
  <c r="AN31" i="48"/>
  <c r="AN296" i="48"/>
  <c r="Z261" i="48"/>
  <c r="AN151" i="48"/>
  <c r="AC258" i="48"/>
  <c r="AQ258" i="48" s="1"/>
  <c r="AN258" i="48"/>
  <c r="AB12" i="48"/>
  <c r="AA12" i="48"/>
  <c r="AO193" i="48"/>
  <c r="AN161" i="48"/>
  <c r="AN87" i="48"/>
  <c r="AC87" i="48"/>
  <c r="AS83" i="48"/>
  <c r="AO135" i="48"/>
  <c r="AL83" i="48"/>
  <c r="AN273" i="48"/>
  <c r="AN202" i="48"/>
  <c r="AC207" i="48"/>
  <c r="AQ207" i="48" s="1"/>
  <c r="AL363" i="48"/>
  <c r="AN42" i="48"/>
  <c r="AN207" i="48"/>
  <c r="AN140" i="48"/>
  <c r="AC42" i="48"/>
  <c r="AO141" i="48"/>
  <c r="AO86" i="48"/>
  <c r="AO13" i="48"/>
  <c r="AS203" i="48"/>
  <c r="AC301" i="48"/>
  <c r="AC364" i="48"/>
  <c r="AC365" i="48"/>
  <c r="AQ365" i="48" s="1"/>
  <c r="AN113" i="48"/>
  <c r="AN294" i="48"/>
  <c r="AN334" i="48"/>
  <c r="AL259" i="48"/>
  <c r="Z213" i="48"/>
  <c r="AO350" i="48"/>
  <c r="AS36" i="48"/>
  <c r="Z91" i="48"/>
  <c r="AC334" i="48"/>
  <c r="AQ334" i="48" s="1"/>
  <c r="AN257" i="48"/>
  <c r="AC93" i="48"/>
  <c r="AQ93" i="48" s="1"/>
  <c r="AN150" i="48"/>
  <c r="AS362" i="48"/>
  <c r="AS363" i="48" s="1"/>
  <c r="AO264" i="48"/>
  <c r="AS361" i="48"/>
  <c r="Z20" i="48"/>
  <c r="AS115" i="48"/>
  <c r="AN119" i="48"/>
  <c r="AC128" i="48"/>
  <c r="AQ128" i="48" s="1"/>
  <c r="AN128" i="48"/>
  <c r="AO20" i="48"/>
  <c r="AL110" i="48"/>
  <c r="Z125" i="48"/>
  <c r="AS259" i="48"/>
  <c r="AL287" i="48"/>
  <c r="P370" i="48"/>
  <c r="V369" i="48" s="1"/>
  <c r="AC62" i="48"/>
  <c r="AQ62" i="48" s="1"/>
  <c r="AS89" i="48"/>
  <c r="AL54" i="48"/>
  <c r="AL89" i="48"/>
  <c r="Z141" i="48"/>
  <c r="Z208" i="48"/>
  <c r="AO267" i="48"/>
  <c r="AL115" i="48"/>
  <c r="Z27" i="48"/>
  <c r="AN32" i="48"/>
  <c r="AN162" i="48"/>
  <c r="Z193" i="48"/>
  <c r="AC197" i="48"/>
  <c r="AQ197" i="48" s="1"/>
  <c r="AC32" i="48"/>
  <c r="AQ32" i="48" s="1"/>
  <c r="Z158" i="48"/>
  <c r="AN197" i="48"/>
  <c r="AS282" i="48"/>
  <c r="AS287" i="48" s="1"/>
  <c r="AN35" i="48"/>
  <c r="AN68" i="48"/>
  <c r="AC174" i="48"/>
  <c r="Z221" i="48"/>
  <c r="Z366" i="48"/>
  <c r="Z292" i="48"/>
  <c r="AS292" i="48"/>
  <c r="AL216" i="48"/>
  <c r="AS33" i="48"/>
  <c r="AL203" i="48"/>
  <c r="Z270" i="48"/>
  <c r="Z345" i="48"/>
  <c r="AN295" i="48"/>
  <c r="AL292" i="48"/>
  <c r="AC16" i="48"/>
  <c r="AQ16" i="48" s="1"/>
  <c r="Z60" i="48"/>
  <c r="AS155" i="48"/>
  <c r="AN365" i="48"/>
  <c r="Z17" i="48"/>
  <c r="Z45" i="48"/>
  <c r="Z72" i="48"/>
  <c r="Z83" i="48"/>
  <c r="AL17" i="48"/>
  <c r="AL98" i="48"/>
  <c r="AC199" i="48"/>
  <c r="AL36" i="48"/>
  <c r="AL208" i="48"/>
  <c r="Z267" i="48"/>
  <c r="Z305" i="48"/>
  <c r="Z319" i="48"/>
  <c r="AL261" i="48"/>
  <c r="AC214" i="48"/>
  <c r="AN306" i="48"/>
  <c r="AC306" i="48"/>
  <c r="AS39" i="48"/>
  <c r="AS216" i="48"/>
  <c r="AS24" i="48"/>
  <c r="AS54" i="48"/>
  <c r="Z329" i="48"/>
  <c r="AL361" i="48"/>
  <c r="AS135" i="48"/>
  <c r="AL24" i="48"/>
  <c r="AO94" i="48"/>
  <c r="AL120" i="48"/>
  <c r="AS20" i="48"/>
  <c r="AS104" i="48"/>
  <c r="AS120" i="48"/>
  <c r="AL267" i="48"/>
  <c r="AS356" i="48"/>
  <c r="AL33" i="48"/>
  <c r="Z39" i="48"/>
  <c r="AS98" i="48"/>
  <c r="Z120" i="48"/>
  <c r="AS163" i="48"/>
  <c r="AS319" i="48"/>
  <c r="Z203" i="48"/>
  <c r="AL130" i="48"/>
  <c r="AN341" i="48"/>
  <c r="AC341" i="48"/>
  <c r="AC28" i="48"/>
  <c r="Z78" i="48"/>
  <c r="AN215" i="48"/>
  <c r="AN80" i="48"/>
  <c r="AL135" i="48"/>
  <c r="AC52" i="48"/>
  <c r="AS188" i="48"/>
  <c r="AL81" i="48"/>
  <c r="AS79" i="48"/>
  <c r="AS81" i="48" s="1"/>
  <c r="Z163" i="48"/>
  <c r="AO281" i="48"/>
  <c r="Z281" i="48"/>
  <c r="AL188" i="48"/>
  <c r="AS240" i="48"/>
  <c r="Z255" i="48"/>
  <c r="AO292" i="48"/>
  <c r="AC265" i="48"/>
  <c r="AS138" i="48"/>
  <c r="AS141" i="48" s="1"/>
  <c r="AL141" i="48"/>
  <c r="AS55" i="48"/>
  <c r="AS56" i="48" s="1"/>
  <c r="AL56" i="48"/>
  <c r="AS152" i="48"/>
  <c r="AL152" i="48"/>
  <c r="AS206" i="48"/>
  <c r="AS208" i="48" s="1"/>
  <c r="AL373" i="48"/>
  <c r="AS320" i="48"/>
  <c r="AS324" i="48" s="1"/>
  <c r="AL324" i="48"/>
  <c r="AS342" i="48"/>
  <c r="AS345" i="48" s="1"/>
  <c r="AL345" i="48"/>
  <c r="AL43" i="48"/>
  <c r="AS42" i="48"/>
  <c r="AS43" i="48" s="1"/>
  <c r="AN272" i="48"/>
  <c r="AN276" i="48"/>
  <c r="AN53" i="48"/>
  <c r="AL20" i="48"/>
  <c r="AL75" i="48"/>
  <c r="AO72" i="48"/>
  <c r="Z75" i="48"/>
  <c r="AN52" i="48"/>
  <c r="Z183" i="48"/>
  <c r="AO203" i="48"/>
  <c r="AL240" i="48"/>
  <c r="Z242" i="48"/>
  <c r="AC276" i="48"/>
  <c r="AQ276" i="48" s="1"/>
  <c r="AN274" i="48"/>
  <c r="Z178" i="48"/>
  <c r="AS130" i="48"/>
  <c r="AL39" i="48"/>
  <c r="Z130" i="48"/>
  <c r="Z167" i="48"/>
  <c r="AS173" i="48"/>
  <c r="AO319" i="48"/>
  <c r="AS265" i="48"/>
  <c r="AS267" i="48" s="1"/>
  <c r="AC274" i="48"/>
  <c r="AQ274" i="48" s="1"/>
  <c r="Z56" i="48"/>
  <c r="Z300" i="48"/>
  <c r="AS75" i="48"/>
  <c r="AL104" i="48"/>
  <c r="AL173" i="48"/>
  <c r="AS277" i="48"/>
  <c r="AL319" i="48"/>
  <c r="AS329" i="48"/>
  <c r="Z356" i="48"/>
  <c r="AL300" i="48"/>
  <c r="AS335" i="48"/>
  <c r="AO63" i="48"/>
  <c r="Z63" i="48"/>
  <c r="Z30" i="48"/>
  <c r="Z94" i="48"/>
  <c r="Z198" i="48"/>
  <c r="AL277" i="48"/>
  <c r="AS300" i="48"/>
  <c r="AL335" i="48"/>
  <c r="AS61" i="48"/>
  <c r="AS63" i="48" s="1"/>
  <c r="AL63" i="48"/>
  <c r="AS209" i="48"/>
  <c r="AS210" i="48" s="1"/>
  <c r="AL210" i="48"/>
  <c r="AO313" i="48"/>
  <c r="Z313" i="48"/>
  <c r="AN291" i="48"/>
  <c r="AC291" i="48"/>
  <c r="AQ291" i="48" s="1"/>
  <c r="AN18" i="48"/>
  <c r="AC18" i="48"/>
  <c r="AL313" i="48"/>
  <c r="AL340" i="48"/>
  <c r="AN22" i="48"/>
  <c r="AC22" i="48"/>
  <c r="AQ22" i="48" s="1"/>
  <c r="AN64" i="48"/>
  <c r="AC64" i="48"/>
  <c r="AL66" i="48"/>
  <c r="AS64" i="48"/>
  <c r="AS66" i="48" s="1"/>
  <c r="AC97" i="48"/>
  <c r="AQ97" i="48" s="1"/>
  <c r="AN97" i="48"/>
  <c r="AL86" i="48"/>
  <c r="AS84" i="48"/>
  <c r="AS86" i="48" s="1"/>
  <c r="AN103" i="48"/>
  <c r="AC103" i="48"/>
  <c r="AL213" i="48"/>
  <c r="AS211" i="48"/>
  <c r="AS213" i="48" s="1"/>
  <c r="AC136" i="48"/>
  <c r="AN136" i="48"/>
  <c r="Z210" i="48"/>
  <c r="AO210" i="48"/>
  <c r="AN223" i="48"/>
  <c r="AC223" i="48"/>
  <c r="AQ223" i="48" s="1"/>
  <c r="AC251" i="48"/>
  <c r="AQ251" i="48" s="1"/>
  <c r="AN251" i="48"/>
  <c r="AS364" i="48"/>
  <c r="AS366" i="48" s="1"/>
  <c r="AL366" i="48"/>
  <c r="AC76" i="48"/>
  <c r="AN76" i="48"/>
  <c r="AN90" i="48"/>
  <c r="AC90" i="48"/>
  <c r="AC91" i="48" s="1"/>
  <c r="AC192" i="48"/>
  <c r="AQ192" i="48" s="1"/>
  <c r="AN192" i="48"/>
  <c r="AC226" i="48"/>
  <c r="AN226" i="48"/>
  <c r="AN322" i="48"/>
  <c r="AC322" i="48"/>
  <c r="AQ322" i="48" s="1"/>
  <c r="AN327" i="48"/>
  <c r="AC327" i="48"/>
  <c r="AQ327" i="48" s="1"/>
  <c r="AN342" i="48"/>
  <c r="AC342" i="48"/>
  <c r="AN23" i="48"/>
  <c r="AC23" i="48"/>
  <c r="AQ23" i="48" s="1"/>
  <c r="AN12" i="48"/>
  <c r="AC12" i="48"/>
  <c r="AC13" i="48" s="1"/>
  <c r="V380" i="48"/>
  <c r="AO17" i="48"/>
  <c r="AN14" i="48"/>
  <c r="AC14" i="48"/>
  <c r="AS48" i="48"/>
  <c r="Z48" i="48"/>
  <c r="AO48" i="48"/>
  <c r="AC55" i="48"/>
  <c r="AC56" i="48" s="1"/>
  <c r="AN55" i="48"/>
  <c r="AC25" i="48"/>
  <c r="AN25" i="48"/>
  <c r="AO43" i="48"/>
  <c r="Z43" i="48"/>
  <c r="AL45" i="48"/>
  <c r="AN65" i="48"/>
  <c r="AC65" i="48"/>
  <c r="AQ65" i="48" s="1"/>
  <c r="AC108" i="48"/>
  <c r="AQ108" i="48" s="1"/>
  <c r="AN108" i="48"/>
  <c r="AO89" i="48"/>
  <c r="Z89" i="48"/>
  <c r="AO379" i="48"/>
  <c r="Z379" i="48"/>
  <c r="AN102" i="48"/>
  <c r="AC102" i="48"/>
  <c r="AQ102" i="48" s="1"/>
  <c r="AO378" i="48"/>
  <c r="Z378" i="48"/>
  <c r="AN126" i="48"/>
  <c r="AC126" i="48"/>
  <c r="AN204" i="48"/>
  <c r="AC177" i="48"/>
  <c r="AQ177" i="48" s="1"/>
  <c r="AN177" i="48"/>
  <c r="AC176" i="48"/>
  <c r="AQ176" i="48" s="1"/>
  <c r="AN176" i="48"/>
  <c r="AN232" i="48"/>
  <c r="AC232" i="48"/>
  <c r="AQ232" i="48" s="1"/>
  <c r="AC245" i="48"/>
  <c r="AQ245" i="48" s="1"/>
  <c r="AN245" i="48"/>
  <c r="AN262" i="48"/>
  <c r="AC262" i="48"/>
  <c r="AC217" i="48"/>
  <c r="AN217" i="48"/>
  <c r="AS241" i="48"/>
  <c r="AL242" i="48"/>
  <c r="AL379" i="48"/>
  <c r="Z224" i="48"/>
  <c r="AO224" i="48"/>
  <c r="AC241" i="48"/>
  <c r="AC242" i="48" s="1"/>
  <c r="AN241" i="48"/>
  <c r="AN242" i="48" s="1"/>
  <c r="AL255" i="48"/>
  <c r="AS253" i="48"/>
  <c r="AS255" i="48" s="1"/>
  <c r="AN275" i="48"/>
  <c r="AC275" i="48"/>
  <c r="AQ275" i="48" s="1"/>
  <c r="AC191" i="48"/>
  <c r="AQ191" i="48" s="1"/>
  <c r="AN191" i="48"/>
  <c r="AN343" i="48"/>
  <c r="AC343" i="48"/>
  <c r="AQ343" i="48" s="1"/>
  <c r="AL356" i="48"/>
  <c r="AC360" i="48"/>
  <c r="AQ360" i="48" s="1"/>
  <c r="AN360" i="48"/>
  <c r="AN298" i="48"/>
  <c r="AC298" i="48"/>
  <c r="Z340" i="48"/>
  <c r="AN124" i="48"/>
  <c r="AC124" i="48"/>
  <c r="AQ124" i="48" s="1"/>
  <c r="Z173" i="48"/>
  <c r="AL221" i="48"/>
  <c r="AS217" i="48"/>
  <c r="AS221" i="48" s="1"/>
  <c r="AN285" i="48"/>
  <c r="AC285" i="48"/>
  <c r="AQ285" i="48" s="1"/>
  <c r="AC38" i="48"/>
  <c r="AQ38" i="48" s="1"/>
  <c r="AN38" i="48"/>
  <c r="AO33" i="48"/>
  <c r="Z33" i="48"/>
  <c r="AN44" i="48"/>
  <c r="AC44" i="48"/>
  <c r="AC45" i="48" s="1"/>
  <c r="AC219" i="48"/>
  <c r="AQ219" i="48" s="1"/>
  <c r="AN219" i="48"/>
  <c r="AS90" i="48"/>
  <c r="AS91" i="48" s="1"/>
  <c r="AL91" i="48"/>
  <c r="AN100" i="48"/>
  <c r="AC100" i="48"/>
  <c r="AS110" i="48"/>
  <c r="AS124" i="48"/>
  <c r="AS378" i="48" s="1"/>
  <c r="AL378" i="48"/>
  <c r="AN145" i="48"/>
  <c r="AC145" i="48"/>
  <c r="AQ145" i="48" s="1"/>
  <c r="AN170" i="48"/>
  <c r="AC170" i="48"/>
  <c r="AQ170" i="48" s="1"/>
  <c r="AN147" i="48"/>
  <c r="AC147" i="48"/>
  <c r="AS226" i="48"/>
  <c r="AS229" i="48" s="1"/>
  <c r="AL374" i="48"/>
  <c r="AO259" i="48"/>
  <c r="Z259" i="48"/>
  <c r="AN260" i="48"/>
  <c r="AN261" i="48" s="1"/>
  <c r="AC260" i="48"/>
  <c r="AC261" i="48" s="1"/>
  <c r="AN269" i="48"/>
  <c r="AC269" i="48"/>
  <c r="AQ269" i="48" s="1"/>
  <c r="AN303" i="48"/>
  <c r="AC303" i="48"/>
  <c r="AQ303" i="48" s="1"/>
  <c r="AS15" i="48"/>
  <c r="AL371" i="48"/>
  <c r="AO377" i="48"/>
  <c r="Z377" i="48"/>
  <c r="AN29" i="48"/>
  <c r="AC29" i="48"/>
  <c r="AQ29" i="48" s="1"/>
  <c r="Z36" i="48"/>
  <c r="AO36" i="48"/>
  <c r="AL48" i="48"/>
  <c r="AL13" i="48"/>
  <c r="AS12" i="48"/>
  <c r="AL380" i="48"/>
  <c r="AC74" i="48"/>
  <c r="AQ74" i="48" s="1"/>
  <c r="AN74" i="48"/>
  <c r="AS45" i="48"/>
  <c r="AL60" i="48"/>
  <c r="AC111" i="48"/>
  <c r="AN111" i="48"/>
  <c r="Z146" i="48"/>
  <c r="AO146" i="48"/>
  <c r="AO152" i="48"/>
  <c r="Z152" i="48"/>
  <c r="AL178" i="48"/>
  <c r="AS174" i="48"/>
  <c r="AS178" i="48" s="1"/>
  <c r="AN134" i="48"/>
  <c r="AC134" i="48"/>
  <c r="AQ134" i="48" s="1"/>
  <c r="AN234" i="48"/>
  <c r="AC234" i="48"/>
  <c r="AN231" i="48"/>
  <c r="AC231" i="48"/>
  <c r="AQ231" i="48" s="1"/>
  <c r="AN222" i="48"/>
  <c r="AC222" i="48"/>
  <c r="AN263" i="48"/>
  <c r="AC263" i="48"/>
  <c r="AQ263" i="48" s="1"/>
  <c r="AN238" i="48"/>
  <c r="AC238" i="48"/>
  <c r="AQ238" i="48" s="1"/>
  <c r="AN279" i="48"/>
  <c r="AC279" i="48"/>
  <c r="AQ279" i="48" s="1"/>
  <c r="AN254" i="48"/>
  <c r="AC254" i="48"/>
  <c r="AQ254" i="48" s="1"/>
  <c r="AN280" i="48"/>
  <c r="AC280" i="48"/>
  <c r="AQ280" i="48" s="1"/>
  <c r="AN308" i="48"/>
  <c r="AC308" i="48"/>
  <c r="AQ308" i="48" s="1"/>
  <c r="AN299" i="48"/>
  <c r="AC299" i="48"/>
  <c r="AQ299" i="48" s="1"/>
  <c r="AN288" i="48"/>
  <c r="AC288" i="48"/>
  <c r="AL350" i="48"/>
  <c r="AS346" i="48"/>
  <c r="AS350" i="48" s="1"/>
  <c r="AN333" i="48"/>
  <c r="AC333" i="48"/>
  <c r="AQ333" i="48" s="1"/>
  <c r="AN326" i="48"/>
  <c r="AC326" i="48"/>
  <c r="AQ326" i="48" s="1"/>
  <c r="AL329" i="48"/>
  <c r="Z350" i="48"/>
  <c r="AS49" i="48"/>
  <c r="AS51" i="48" s="1"/>
  <c r="AL51" i="48"/>
  <c r="AC118" i="48"/>
  <c r="AQ118" i="48" s="1"/>
  <c r="AN118" i="48"/>
  <c r="Z374" i="48"/>
  <c r="AN237" i="48"/>
  <c r="AC237" i="48"/>
  <c r="AQ237" i="48" s="1"/>
  <c r="AN243" i="48"/>
  <c r="AC243" i="48"/>
  <c r="AN354" i="48"/>
  <c r="AC354" i="48"/>
  <c r="AQ354" i="48" s="1"/>
  <c r="AN337" i="48"/>
  <c r="AC337" i="48"/>
  <c r="AQ337" i="48" s="1"/>
  <c r="AL377" i="48"/>
  <c r="Z41" i="48"/>
  <c r="AO41" i="48"/>
  <c r="Z110" i="48"/>
  <c r="AN250" i="48"/>
  <c r="AC250" i="48"/>
  <c r="AQ250" i="48" s="1"/>
  <c r="Z233" i="48"/>
  <c r="AO233" i="48"/>
  <c r="AS248" i="48"/>
  <c r="AS252" i="48" s="1"/>
  <c r="AL252" i="48"/>
  <c r="AL264" i="48"/>
  <c r="AS262" i="48"/>
  <c r="AS264" i="48" s="1"/>
  <c r="Z287" i="48"/>
  <c r="AO287" i="48"/>
  <c r="Z24" i="48"/>
  <c r="AO371" i="48"/>
  <c r="Z371" i="48"/>
  <c r="AO81" i="48"/>
  <c r="Z81" i="48"/>
  <c r="AN165" i="48"/>
  <c r="AC165" i="48"/>
  <c r="AQ165" i="48" s="1"/>
  <c r="AN168" i="48"/>
  <c r="AC168" i="48"/>
  <c r="AN196" i="48"/>
  <c r="AC196" i="48"/>
  <c r="AQ196" i="48" s="1"/>
  <c r="AS179" i="48"/>
  <c r="AS183" i="48" s="1"/>
  <c r="AL183" i="48"/>
  <c r="AC227" i="48"/>
  <c r="AQ227" i="48" s="1"/>
  <c r="AN227" i="48"/>
  <c r="AN355" i="48"/>
  <c r="AC355" i="48"/>
  <c r="AQ355" i="48" s="1"/>
  <c r="AN40" i="48"/>
  <c r="AC40" i="48"/>
  <c r="AC41" i="48" s="1"/>
  <c r="AC37" i="48"/>
  <c r="AN37" i="48"/>
  <c r="AN59" i="48"/>
  <c r="AC59" i="48"/>
  <c r="AQ59" i="48" s="1"/>
  <c r="AL78" i="48"/>
  <c r="AS76" i="48"/>
  <c r="AS78" i="48" s="1"/>
  <c r="AN84" i="48"/>
  <c r="AC84" i="48"/>
  <c r="AS60" i="48"/>
  <c r="AC95" i="48"/>
  <c r="AN95" i="48"/>
  <c r="AN92" i="48"/>
  <c r="AC92" i="48"/>
  <c r="Z104" i="48"/>
  <c r="Z372" i="48"/>
  <c r="AN156" i="48"/>
  <c r="AC156" i="48"/>
  <c r="AQ156" i="48" s="1"/>
  <c r="AN187" i="48"/>
  <c r="AC187" i="48"/>
  <c r="AQ187" i="48" s="1"/>
  <c r="AC211" i="48"/>
  <c r="AN211" i="48"/>
  <c r="AN129" i="48"/>
  <c r="AC129" i="48"/>
  <c r="AQ129" i="48" s="1"/>
  <c r="Z188" i="48"/>
  <c r="AO188" i="48"/>
  <c r="AC220" i="48"/>
  <c r="AQ220" i="48" s="1"/>
  <c r="AN220" i="48"/>
  <c r="AL229" i="48"/>
  <c r="Z247" i="48"/>
  <c r="AO252" i="48"/>
  <c r="Z252" i="48"/>
  <c r="AO324" i="48"/>
  <c r="Z324" i="48"/>
  <c r="Z373" i="48"/>
  <c r="AN304" i="48"/>
  <c r="AC304" i="48"/>
  <c r="AQ304" i="48" s="1"/>
  <c r="AC244" i="48"/>
  <c r="AQ244" i="48" s="1"/>
  <c r="AN244" i="48"/>
  <c r="AN318" i="48"/>
  <c r="AC318" i="48"/>
  <c r="AQ318" i="48" s="1"/>
  <c r="V374" i="48"/>
  <c r="Z310" i="48"/>
  <c r="AL297" i="48"/>
  <c r="AS293" i="48"/>
  <c r="AS297" i="48" s="1"/>
  <c r="AO361" i="48"/>
  <c r="Z361" i="48"/>
  <c r="AO297" i="48"/>
  <c r="AN311" i="48"/>
  <c r="AC311" i="48"/>
  <c r="Z335" i="48"/>
  <c r="AO335" i="48"/>
  <c r="AN347" i="48"/>
  <c r="AC347" i="48"/>
  <c r="AL30" i="48"/>
  <c r="AS28" i="48"/>
  <c r="AS30" i="48" s="1"/>
  <c r="AN50" i="48"/>
  <c r="AC50" i="48"/>
  <c r="AQ50" i="48" s="1"/>
  <c r="Z54" i="48"/>
  <c r="AO54" i="48"/>
  <c r="AN209" i="48"/>
  <c r="AN210" i="48" s="1"/>
  <c r="AC209" i="48"/>
  <c r="AC210" i="48" s="1"/>
  <c r="AN338" i="48"/>
  <c r="AC338" i="48"/>
  <c r="AQ338" i="48" s="1"/>
  <c r="AN194" i="48"/>
  <c r="AC194" i="48"/>
  <c r="AO229" i="48"/>
  <c r="Z229" i="48"/>
  <c r="AS301" i="48"/>
  <c r="AS305" i="48" s="1"/>
  <c r="AL305" i="48"/>
  <c r="AC248" i="48"/>
  <c r="AN248" i="48"/>
  <c r="AN321" i="48"/>
  <c r="AC321" i="48"/>
  <c r="AQ321" i="48" s="1"/>
  <c r="AN317" i="48"/>
  <c r="AC317" i="48"/>
  <c r="AQ317" i="48" s="1"/>
  <c r="AN316" i="48"/>
  <c r="AC316" i="48"/>
  <c r="AQ316" i="48" s="1"/>
  <c r="AN349" i="48"/>
  <c r="AC349" i="48"/>
  <c r="AQ349" i="48" s="1"/>
  <c r="AL41" i="48"/>
  <c r="AS40" i="48"/>
  <c r="AS41" i="48" s="1"/>
  <c r="AN172" i="48"/>
  <c r="AC172" i="48"/>
  <c r="AQ172" i="48" s="1"/>
  <c r="Z240" i="48"/>
  <c r="AO240" i="48"/>
  <c r="AS230" i="48"/>
  <c r="AS233" i="48" s="1"/>
  <c r="AL233" i="48"/>
  <c r="AO277" i="48"/>
  <c r="Z277" i="48"/>
  <c r="AN21" i="48"/>
  <c r="AC21" i="48"/>
  <c r="Z51" i="48"/>
  <c r="AO51" i="48"/>
  <c r="AN57" i="48"/>
  <c r="AC57" i="48"/>
  <c r="AN77" i="48"/>
  <c r="AC77" i="48"/>
  <c r="AQ77" i="48" s="1"/>
  <c r="AN71" i="48"/>
  <c r="AC71" i="48"/>
  <c r="AQ71" i="48" s="1"/>
  <c r="AS93" i="48"/>
  <c r="AS94" i="48" s="1"/>
  <c r="AL94" i="48"/>
  <c r="AC99" i="48"/>
  <c r="AN99" i="48"/>
  <c r="Z115" i="48"/>
  <c r="AO115" i="48"/>
  <c r="AN131" i="48"/>
  <c r="AC131" i="48"/>
  <c r="AN123" i="48"/>
  <c r="AC123" i="48"/>
  <c r="AQ123" i="48" s="1"/>
  <c r="AL125" i="48"/>
  <c r="AS121" i="48"/>
  <c r="AL372" i="48"/>
  <c r="AN155" i="48"/>
  <c r="AC139" i="48"/>
  <c r="AQ139" i="48" s="1"/>
  <c r="AN139" i="48"/>
  <c r="AL163" i="48"/>
  <c r="AN166" i="48"/>
  <c r="AC166" i="48"/>
  <c r="AQ166" i="48" s="1"/>
  <c r="AN171" i="48"/>
  <c r="AC171" i="48"/>
  <c r="AQ171" i="48" s="1"/>
  <c r="AC148" i="48"/>
  <c r="AQ148" i="48" s="1"/>
  <c r="AN148" i="48"/>
  <c r="AC212" i="48"/>
  <c r="AQ212" i="48" s="1"/>
  <c r="AN212" i="48"/>
  <c r="AC189" i="48"/>
  <c r="AN189" i="48"/>
  <c r="AN181" i="48"/>
  <c r="AC181" i="48"/>
  <c r="AQ181" i="48" s="1"/>
  <c r="AN205" i="48"/>
  <c r="AC205" i="48"/>
  <c r="AQ205" i="48" s="1"/>
  <c r="Z216" i="48"/>
  <c r="AO216" i="48"/>
  <c r="AO208" i="48"/>
  <c r="AO373" i="48"/>
  <c r="AL247" i="48"/>
  <c r="AS243" i="48"/>
  <c r="AS247" i="48" s="1"/>
  <c r="AN249" i="48"/>
  <c r="AC249" i="48"/>
  <c r="AQ249" i="48" s="1"/>
  <c r="AC228" i="48"/>
  <c r="AQ228" i="48" s="1"/>
  <c r="AN228" i="48"/>
  <c r="AS222" i="48"/>
  <c r="AS224" i="48" s="1"/>
  <c r="AL224" i="48"/>
  <c r="AC246" i="48"/>
  <c r="AQ246" i="48" s="1"/>
  <c r="AN246" i="48"/>
  <c r="AN271" i="48"/>
  <c r="AC271" i="48"/>
  <c r="AL270" i="48"/>
  <c r="AL310" i="48"/>
  <c r="AS306" i="48"/>
  <c r="AS310" i="48" s="1"/>
  <c r="Z264" i="48"/>
  <c r="AC323" i="48"/>
  <c r="AQ323" i="48" s="1"/>
  <c r="AN323" i="48"/>
  <c r="Z297" i="48"/>
  <c r="AN344" i="48"/>
  <c r="AC344" i="48"/>
  <c r="AQ344" i="48" s="1"/>
  <c r="AN290" i="48"/>
  <c r="AC290" i="48"/>
  <c r="AQ290" i="48" s="1"/>
  <c r="AN47" i="48"/>
  <c r="AC47" i="48"/>
  <c r="AQ47" i="48" s="1"/>
  <c r="AC107" i="48"/>
  <c r="AQ107" i="48" s="1"/>
  <c r="AN107" i="48"/>
  <c r="AC116" i="48"/>
  <c r="AN116" i="48"/>
  <c r="AN144" i="48"/>
  <c r="AC144" i="48"/>
  <c r="AQ144" i="48" s="1"/>
  <c r="AS164" i="48"/>
  <c r="AS167" i="48" s="1"/>
  <c r="AL167" i="48"/>
  <c r="AS193" i="48"/>
  <c r="AN235" i="48"/>
  <c r="AC235" i="48"/>
  <c r="AQ235" i="48" s="1"/>
  <c r="AN320" i="48"/>
  <c r="AC320" i="48"/>
  <c r="AN67" i="48"/>
  <c r="AC67" i="48"/>
  <c r="AN133" i="48"/>
  <c r="AC133" i="48"/>
  <c r="AQ133" i="48" s="1"/>
  <c r="AN157" i="48"/>
  <c r="AC157" i="48"/>
  <c r="AQ157" i="48" s="1"/>
  <c r="AO363" i="48"/>
  <c r="Z363" i="48"/>
  <c r="AC73" i="48"/>
  <c r="AN73" i="48"/>
  <c r="AC61" i="48"/>
  <c r="AN61" i="48"/>
  <c r="AN186" i="48"/>
  <c r="AC186" i="48"/>
  <c r="AQ186" i="48" s="1"/>
  <c r="AN286" i="48"/>
  <c r="AC286" i="48"/>
  <c r="AQ286" i="48" s="1"/>
  <c r="AO340" i="48"/>
  <c r="AN328" i="48"/>
  <c r="AC328" i="48"/>
  <c r="AQ328" i="48" s="1"/>
  <c r="AN339" i="48"/>
  <c r="AC339" i="48"/>
  <c r="AQ339" i="48" s="1"/>
  <c r="AS25" i="48"/>
  <c r="AL27" i="48"/>
  <c r="AC26" i="48"/>
  <c r="AQ26" i="48" s="1"/>
  <c r="AN26" i="48"/>
  <c r="AN19" i="48"/>
  <c r="AC19" i="48"/>
  <c r="AQ19" i="48" s="1"/>
  <c r="AN46" i="48"/>
  <c r="AC46" i="48"/>
  <c r="AL69" i="48"/>
  <c r="AS68" i="48"/>
  <c r="AS69" i="48" s="1"/>
  <c r="AN49" i="48"/>
  <c r="AC49" i="48"/>
  <c r="AS70" i="48"/>
  <c r="AS72" i="48" s="1"/>
  <c r="AL72" i="48"/>
  <c r="AN58" i="48"/>
  <c r="AC58" i="48"/>
  <c r="AQ58" i="48" s="1"/>
  <c r="AO69" i="48"/>
  <c r="Z69" i="48"/>
  <c r="Z66" i="48"/>
  <c r="AO66" i="48"/>
  <c r="AC88" i="48"/>
  <c r="AQ88" i="48" s="1"/>
  <c r="AN88" i="48"/>
  <c r="AC96" i="48"/>
  <c r="AQ96" i="48" s="1"/>
  <c r="AN96" i="48"/>
  <c r="AC109" i="48"/>
  <c r="AN109" i="48"/>
  <c r="V379" i="48"/>
  <c r="AO98" i="48"/>
  <c r="Z98" i="48"/>
  <c r="Z135" i="48"/>
  <c r="AL146" i="48"/>
  <c r="AS142" i="48"/>
  <c r="AS146" i="48" s="1"/>
  <c r="AL158" i="48"/>
  <c r="AS153" i="48"/>
  <c r="AN164" i="48"/>
  <c r="AC164" i="48"/>
  <c r="AN142" i="48"/>
  <c r="AC142" i="48"/>
  <c r="AC138" i="48"/>
  <c r="AQ138" i="48" s="1"/>
  <c r="AN138" i="48"/>
  <c r="AL193" i="48"/>
  <c r="AL198" i="48"/>
  <c r="AS194" i="48"/>
  <c r="AS198" i="48" s="1"/>
  <c r="AN206" i="48"/>
  <c r="AC206" i="48"/>
  <c r="AQ206" i="48" s="1"/>
  <c r="AN179" i="48"/>
  <c r="AC179" i="48"/>
  <c r="Z380" i="48"/>
  <c r="AN239" i="48"/>
  <c r="AC239" i="48"/>
  <c r="AQ239" i="48" s="1"/>
  <c r="AN284" i="48"/>
  <c r="AC284" i="48"/>
  <c r="AQ284" i="48" s="1"/>
  <c r="AN282" i="48"/>
  <c r="AC282" i="48"/>
  <c r="AN268" i="48"/>
  <c r="AC268" i="48"/>
  <c r="AS270" i="48"/>
  <c r="AS278" i="48"/>
  <c r="AS281" i="48" s="1"/>
  <c r="AL281" i="48"/>
  <c r="AN302" i="48"/>
  <c r="AC302" i="48"/>
  <c r="AC325" i="48"/>
  <c r="AN325" i="48"/>
  <c r="AC358" i="48"/>
  <c r="AQ358" i="48" s="1"/>
  <c r="AN358" i="48"/>
  <c r="AS313" i="48"/>
  <c r="AS340" i="48"/>
  <c r="AC359" i="48"/>
  <c r="AQ359" i="48" s="1"/>
  <c r="AN359" i="48"/>
  <c r="AC94" i="48" l="1"/>
  <c r="AC48" i="48"/>
  <c r="AC104" i="48"/>
  <c r="AC75" i="48"/>
  <c r="AC193" i="48"/>
  <c r="AC54" i="48"/>
  <c r="AC324" i="48"/>
  <c r="AC98" i="48"/>
  <c r="AC240" i="48"/>
  <c r="AC252" i="48"/>
  <c r="AC329" i="48"/>
  <c r="AC173" i="48"/>
  <c r="AC39" i="48"/>
  <c r="AQ214" i="48"/>
  <c r="AC300" i="48"/>
  <c r="AC78" i="48"/>
  <c r="AQ199" i="48"/>
  <c r="AC224" i="48"/>
  <c r="AC152" i="48"/>
  <c r="AC30" i="48"/>
  <c r="AC270" i="48"/>
  <c r="AQ341" i="48"/>
  <c r="AC345" i="48"/>
  <c r="AQ87" i="48"/>
  <c r="AQ89" i="48" s="1"/>
  <c r="AC89" i="48"/>
  <c r="AC167" i="48"/>
  <c r="AC51" i="48"/>
  <c r="AC292" i="48"/>
  <c r="AC221" i="48"/>
  <c r="AC130" i="48"/>
  <c r="AC27" i="48"/>
  <c r="AC66" i="48"/>
  <c r="AC20" i="48"/>
  <c r="AQ265" i="48"/>
  <c r="AQ306" i="48"/>
  <c r="AC366" i="48"/>
  <c r="AQ42" i="48"/>
  <c r="AC43" i="48"/>
  <c r="AC146" i="48"/>
  <c r="AC63" i="48"/>
  <c r="AC277" i="48"/>
  <c r="AC213" i="48"/>
  <c r="AC287" i="48"/>
  <c r="AC24" i="48"/>
  <c r="AC135" i="48"/>
  <c r="AC60" i="48"/>
  <c r="AC198" i="48"/>
  <c r="AC247" i="48"/>
  <c r="AC264" i="48"/>
  <c r="AC141" i="48"/>
  <c r="AC178" i="48"/>
  <c r="AQ301" i="48"/>
  <c r="AC305" i="48"/>
  <c r="AQ31" i="48"/>
  <c r="AQ33" i="48" s="1"/>
  <c r="AC33" i="48"/>
  <c r="AM331" i="48"/>
  <c r="AE257" i="48"/>
  <c r="AM257" i="48" s="1"/>
  <c r="AE273" i="48"/>
  <c r="AM273" i="48" s="1"/>
  <c r="AE349" i="48"/>
  <c r="AE327" i="48"/>
  <c r="AE318" i="48"/>
  <c r="AE298" i="48"/>
  <c r="AE285" i="48"/>
  <c r="AM285" i="48" s="1"/>
  <c r="AE254" i="48"/>
  <c r="AE228" i="48"/>
  <c r="AE222" i="48"/>
  <c r="AE214" i="48"/>
  <c r="AE199" i="48"/>
  <c r="AE191" i="48"/>
  <c r="AM191" i="48" s="1"/>
  <c r="AE177" i="48"/>
  <c r="AE168" i="48"/>
  <c r="AE49" i="48"/>
  <c r="AE301" i="48"/>
  <c r="AE243" i="48"/>
  <c r="AE211" i="48"/>
  <c r="AE156" i="48"/>
  <c r="AE142" i="48"/>
  <c r="AE100" i="48"/>
  <c r="AE76" i="48"/>
  <c r="AE61" i="48"/>
  <c r="AE53" i="48"/>
  <c r="AM53" i="48" s="1"/>
  <c r="AE46" i="48"/>
  <c r="AE35" i="48"/>
  <c r="AE22" i="48"/>
  <c r="AE164" i="48"/>
  <c r="AE202" i="48"/>
  <c r="AE360" i="48"/>
  <c r="AM360" i="48" s="1"/>
  <c r="AE65" i="48"/>
  <c r="AE38" i="48"/>
  <c r="AE165" i="48"/>
  <c r="AE171" i="48"/>
  <c r="AE260" i="48"/>
  <c r="AE261" i="48" s="1"/>
  <c r="AE364" i="48"/>
  <c r="AE348" i="48"/>
  <c r="AE326" i="48"/>
  <c r="AE321" i="48"/>
  <c r="AE316" i="48"/>
  <c r="AE303" i="48"/>
  <c r="AE271" i="48"/>
  <c r="AE263" i="48"/>
  <c r="AE248" i="48"/>
  <c r="AE239" i="48"/>
  <c r="AE232" i="48"/>
  <c r="AE136" i="48"/>
  <c r="AE111" i="48"/>
  <c r="AE80" i="48"/>
  <c r="AE64" i="48"/>
  <c r="AE295" i="48"/>
  <c r="AE272" i="48"/>
  <c r="AE151" i="48"/>
  <c r="AE140" i="48"/>
  <c r="AE123" i="48"/>
  <c r="AM123" i="48" s="1"/>
  <c r="AE58" i="48"/>
  <c r="AE18" i="48"/>
  <c r="AE338" i="48"/>
  <c r="AE317" i="48"/>
  <c r="AE226" i="48"/>
  <c r="AE212" i="48"/>
  <c r="AE179" i="48"/>
  <c r="AE67" i="48"/>
  <c r="AE16" i="48"/>
  <c r="AM16" i="48" s="1"/>
  <c r="AE280" i="48"/>
  <c r="AE197" i="48"/>
  <c r="AM197" i="48" s="1"/>
  <c r="AE322" i="48"/>
  <c r="AE358" i="48"/>
  <c r="AE354" i="48"/>
  <c r="AE343" i="48"/>
  <c r="AE337" i="48"/>
  <c r="AE333" i="48"/>
  <c r="AE311" i="48"/>
  <c r="AE296" i="48"/>
  <c r="AE284" i="48"/>
  <c r="AE269" i="48"/>
  <c r="AE262" i="48"/>
  <c r="AE217" i="48"/>
  <c r="AE186" i="48"/>
  <c r="AM186" i="48" s="1"/>
  <c r="AE176" i="48"/>
  <c r="AE162" i="48"/>
  <c r="AM162" i="48" s="1"/>
  <c r="AE145" i="48"/>
  <c r="AE97" i="48"/>
  <c r="AE23" i="48"/>
  <c r="AE234" i="48"/>
  <c r="AE148" i="48"/>
  <c r="AE131" i="48"/>
  <c r="AE107" i="48"/>
  <c r="AE99" i="48"/>
  <c r="AE92" i="48"/>
  <c r="AE74" i="48"/>
  <c r="AM74" i="48" s="1"/>
  <c r="AE50" i="48"/>
  <c r="AE42" i="48"/>
  <c r="AE43" i="48" s="1"/>
  <c r="AE37" i="48"/>
  <c r="AE21" i="48"/>
  <c r="AE249" i="48"/>
  <c r="AM249" i="48" s="1"/>
  <c r="AE189" i="48"/>
  <c r="AE44" i="48"/>
  <c r="AE45" i="48" s="1"/>
  <c r="AE302" i="48"/>
  <c r="AE274" i="48"/>
  <c r="AE166" i="48"/>
  <c r="AE241" i="48"/>
  <c r="AE242" i="48" s="1"/>
  <c r="AE342" i="48"/>
  <c r="AE291" i="48"/>
  <c r="AE276" i="48"/>
  <c r="AE246" i="48"/>
  <c r="AE238" i="48"/>
  <c r="AE231" i="48"/>
  <c r="AE207" i="48"/>
  <c r="AE194" i="48"/>
  <c r="AE129" i="48"/>
  <c r="AE96" i="48"/>
  <c r="AE73" i="48"/>
  <c r="AE250" i="48"/>
  <c r="AM250" i="48" s="1"/>
  <c r="AE144" i="48"/>
  <c r="AE134" i="48"/>
  <c r="AE126" i="48"/>
  <c r="AE118" i="48"/>
  <c r="AM118" i="48" s="1"/>
  <c r="AE109" i="48"/>
  <c r="AE84" i="48"/>
  <c r="AE29" i="48"/>
  <c r="AE14" i="48"/>
  <c r="AE344" i="48"/>
  <c r="AE244" i="48"/>
  <c r="AE220" i="48"/>
  <c r="AE187" i="48"/>
  <c r="AE347" i="48"/>
  <c r="AE328" i="48"/>
  <c r="AE325" i="48"/>
  <c r="AE320" i="48"/>
  <c r="AE306" i="48"/>
  <c r="AE299" i="48"/>
  <c r="AE294" i="48"/>
  <c r="AE275" i="48"/>
  <c r="AE258" i="48"/>
  <c r="AE245" i="48"/>
  <c r="AE237" i="48"/>
  <c r="AE170" i="48"/>
  <c r="AE139" i="48"/>
  <c r="AE57" i="48"/>
  <c r="AE308" i="48"/>
  <c r="AE279" i="48"/>
  <c r="AE265" i="48"/>
  <c r="AE227" i="48"/>
  <c r="AM227" i="48" s="1"/>
  <c r="AE157" i="48"/>
  <c r="AE102" i="48"/>
  <c r="AM102" i="48" s="1"/>
  <c r="AE95" i="48"/>
  <c r="AE90" i="48"/>
  <c r="AE91" i="48" s="1"/>
  <c r="AE77" i="48"/>
  <c r="AE71" i="48"/>
  <c r="AM71" i="48" s="1"/>
  <c r="AE62" i="48"/>
  <c r="AE55" i="48"/>
  <c r="AE56" i="48" s="1"/>
  <c r="AE32" i="48"/>
  <c r="AE19" i="48"/>
  <c r="AE359" i="48"/>
  <c r="AM359" i="48" s="1"/>
  <c r="AE172" i="48"/>
  <c r="AM172" i="48" s="1"/>
  <c r="AE59" i="48"/>
  <c r="AE28" i="48"/>
  <c r="AE286" i="48"/>
  <c r="AE174" i="48"/>
  <c r="AE209" i="48"/>
  <c r="AE210" i="48" s="1"/>
  <c r="AE365" i="48"/>
  <c r="AE355" i="48"/>
  <c r="AE341" i="48"/>
  <c r="AE334" i="48"/>
  <c r="AE304" i="48"/>
  <c r="AE290" i="48"/>
  <c r="AE282" i="48"/>
  <c r="AE268" i="48"/>
  <c r="AE251" i="48"/>
  <c r="AE223" i="48"/>
  <c r="AM223" i="48" s="1"/>
  <c r="AE206" i="48"/>
  <c r="AE192" i="48"/>
  <c r="AE161" i="48"/>
  <c r="AE147" i="48"/>
  <c r="AE138" i="48"/>
  <c r="AE128" i="48"/>
  <c r="AM128" i="48" s="1"/>
  <c r="AE113" i="48"/>
  <c r="AE103" i="48"/>
  <c r="AE88" i="48"/>
  <c r="AE150" i="48"/>
  <c r="AE133" i="48"/>
  <c r="AE124" i="48"/>
  <c r="AE116" i="48"/>
  <c r="AE108" i="48"/>
  <c r="AE93" i="48"/>
  <c r="AE87" i="48"/>
  <c r="AE47" i="48"/>
  <c r="AE40" i="48"/>
  <c r="AE41" i="48" s="1"/>
  <c r="AE31" i="48"/>
  <c r="AE25" i="48"/>
  <c r="AE339" i="48"/>
  <c r="AE323" i="48"/>
  <c r="AE288" i="48"/>
  <c r="AE235" i="48"/>
  <c r="AE219" i="48"/>
  <c r="AE196" i="48"/>
  <c r="AE181" i="48"/>
  <c r="AE52" i="48"/>
  <c r="AE26" i="48"/>
  <c r="AE205" i="48"/>
  <c r="W368" i="48"/>
  <c r="V368" i="48"/>
  <c r="AE12" i="48"/>
  <c r="AE13" i="48" s="1"/>
  <c r="AP364" i="48"/>
  <c r="AP366" i="48" s="1"/>
  <c r="AB366" i="48"/>
  <c r="AA210" i="48"/>
  <c r="AA213" i="48"/>
  <c r="AA297" i="48"/>
  <c r="AA130" i="48"/>
  <c r="AB54" i="48"/>
  <c r="AP53" i="48"/>
  <c r="AP54" i="48" s="1"/>
  <c r="AL367" i="48"/>
  <c r="AE13" i="47" s="1"/>
  <c r="Z367" i="48"/>
  <c r="S13" i="47" s="1"/>
  <c r="AN69" i="48"/>
  <c r="AN366" i="48"/>
  <c r="AN33" i="48"/>
  <c r="AS158" i="48"/>
  <c r="AN91" i="48"/>
  <c r="AN277" i="48"/>
  <c r="AC314" i="48"/>
  <c r="AN314" i="48"/>
  <c r="AN319" i="48" s="1"/>
  <c r="AN62" i="48"/>
  <c r="AN63" i="48" s="1"/>
  <c r="AP62" i="48"/>
  <c r="AC155" i="48"/>
  <c r="AE155" i="48" s="1"/>
  <c r="AN89" i="48"/>
  <c r="V373" i="48"/>
  <c r="AC204" i="48"/>
  <c r="AC119" i="48"/>
  <c r="AE119" i="48" s="1"/>
  <c r="AN93" i="48"/>
  <c r="AN94" i="48" s="1"/>
  <c r="AP93" i="48"/>
  <c r="AP119" i="48"/>
  <c r="AN15" i="48"/>
  <c r="AN17" i="48" s="1"/>
  <c r="AC330" i="48"/>
  <c r="AN330" i="48"/>
  <c r="AN335" i="48" s="1"/>
  <c r="AC15" i="48"/>
  <c r="AE15" i="48" s="1"/>
  <c r="AC121" i="48"/>
  <c r="AA255" i="48"/>
  <c r="AN121" i="48"/>
  <c r="AN125" i="48" s="1"/>
  <c r="AQ364" i="48"/>
  <c r="AQ366" i="48" s="1"/>
  <c r="AN174" i="48"/>
  <c r="AN178" i="48" s="1"/>
  <c r="AN105" i="48"/>
  <c r="AN110" i="48" s="1"/>
  <c r="AC105" i="48"/>
  <c r="AO380" i="48"/>
  <c r="AN253" i="48"/>
  <c r="AN255" i="48" s="1"/>
  <c r="AP199" i="48"/>
  <c r="AA30" i="48"/>
  <c r="AC253" i="48"/>
  <c r="AP68" i="48"/>
  <c r="AC68" i="48"/>
  <c r="AE68" i="48" s="1"/>
  <c r="AA305" i="48"/>
  <c r="AC82" i="48"/>
  <c r="AN82" i="48"/>
  <c r="AN83" i="48" s="1"/>
  <c r="AA310" i="48"/>
  <c r="AP105" i="48"/>
  <c r="AC34" i="48"/>
  <c r="AN34" i="48"/>
  <c r="AN36" i="48" s="1"/>
  <c r="AC225" i="48"/>
  <c r="AN225" i="48"/>
  <c r="AN229" i="48" s="1"/>
  <c r="AN130" i="48"/>
  <c r="AN309" i="48"/>
  <c r="AN310" i="48" s="1"/>
  <c r="AN54" i="48"/>
  <c r="AA356" i="48"/>
  <c r="AS373" i="48"/>
  <c r="AA188" i="48"/>
  <c r="AN199" i="48"/>
  <c r="AN379" i="48"/>
  <c r="AC293" i="48"/>
  <c r="AS125" i="48"/>
  <c r="AN293" i="48"/>
  <c r="AN297" i="48" s="1"/>
  <c r="AP306" i="48"/>
  <c r="AN28" i="48"/>
  <c r="AN30" i="48" s="1"/>
  <c r="AP28" i="48"/>
  <c r="AP30" i="48" s="1"/>
  <c r="AS27" i="48"/>
  <c r="AC215" i="48"/>
  <c r="AE215" i="48" s="1"/>
  <c r="AC309" i="48"/>
  <c r="AE309" i="48" s="1"/>
  <c r="AP33" i="48"/>
  <c r="AA324" i="48"/>
  <c r="AN198" i="48"/>
  <c r="AP215" i="48"/>
  <c r="AP216" i="48" s="1"/>
  <c r="AN270" i="48"/>
  <c r="AP346" i="48"/>
  <c r="AC346" i="48"/>
  <c r="AN346" i="48"/>
  <c r="AN350" i="48" s="1"/>
  <c r="AN287" i="48"/>
  <c r="AB310" i="48"/>
  <c r="AN216" i="48"/>
  <c r="AN66" i="48"/>
  <c r="AC79" i="48"/>
  <c r="AN79" i="48"/>
  <c r="AN81" i="48" s="1"/>
  <c r="AN312" i="48"/>
  <c r="AN313" i="48" s="1"/>
  <c r="AP312" i="48"/>
  <c r="AC312" i="48"/>
  <c r="AE312" i="48" s="1"/>
  <c r="AN120" i="48"/>
  <c r="AN39" i="48"/>
  <c r="AA20" i="48"/>
  <c r="AC159" i="48"/>
  <c r="AN159" i="48"/>
  <c r="AN163" i="48" s="1"/>
  <c r="AN266" i="48"/>
  <c r="AN267" i="48" s="1"/>
  <c r="AC266" i="48"/>
  <c r="AE266" i="48" s="1"/>
  <c r="AC256" i="48"/>
  <c r="AN256" i="48"/>
  <c r="AN259" i="48" s="1"/>
  <c r="AC114" i="48"/>
  <c r="AE114" i="48" s="1"/>
  <c r="AP114" i="48"/>
  <c r="AN114" i="48"/>
  <c r="AN115" i="48" s="1"/>
  <c r="AA259" i="48"/>
  <c r="AN305" i="48"/>
  <c r="AC184" i="48"/>
  <c r="AN75" i="48"/>
  <c r="AN24" i="48"/>
  <c r="AQ52" i="48"/>
  <c r="AQ54" i="48" s="1"/>
  <c r="AN43" i="48"/>
  <c r="V371" i="48"/>
  <c r="AN184" i="48"/>
  <c r="AN201" i="48"/>
  <c r="AC201" i="48"/>
  <c r="AE201" i="48" s="1"/>
  <c r="AN357" i="48"/>
  <c r="AN361" i="48" s="1"/>
  <c r="AC357" i="48"/>
  <c r="AA167" i="48"/>
  <c r="AA120" i="48"/>
  <c r="AP248" i="48"/>
  <c r="AB252" i="48"/>
  <c r="AP209" i="48"/>
  <c r="AP210" i="48" s="1"/>
  <c r="AB210" i="48"/>
  <c r="AQ347" i="48"/>
  <c r="AA63" i="48"/>
  <c r="AP293" i="48"/>
  <c r="AP297" i="48" s="1"/>
  <c r="AB297" i="48"/>
  <c r="AB221" i="48"/>
  <c r="AP217" i="48"/>
  <c r="AP221" i="48" s="1"/>
  <c r="AP12" i="48"/>
  <c r="AB13" i="48"/>
  <c r="AB380" i="48"/>
  <c r="AP250" i="48"/>
  <c r="AA78" i="48"/>
  <c r="AA39" i="48"/>
  <c r="AB91" i="48"/>
  <c r="AP90" i="48"/>
  <c r="AP91" i="48" s="1"/>
  <c r="AA208" i="48"/>
  <c r="AP103" i="48"/>
  <c r="AP64" i="48"/>
  <c r="AP66" i="48" s="1"/>
  <c r="AB66" i="48"/>
  <c r="AA366" i="48"/>
  <c r="AP325" i="48"/>
  <c r="AB329" i="48"/>
  <c r="AQ302" i="48"/>
  <c r="AB270" i="48"/>
  <c r="AP268" i="48"/>
  <c r="AP270" i="48" s="1"/>
  <c r="AA86" i="48"/>
  <c r="AQ49" i="48"/>
  <c r="AN48" i="48"/>
  <c r="AP73" i="48"/>
  <c r="AP75" i="48" s="1"/>
  <c r="AB75" i="48"/>
  <c r="AN153" i="48"/>
  <c r="AN158" i="48" s="1"/>
  <c r="AC153" i="48"/>
  <c r="AQ67" i="48"/>
  <c r="AP320" i="48"/>
  <c r="AB324" i="48"/>
  <c r="AQ116" i="48"/>
  <c r="AP166" i="48"/>
  <c r="AN104" i="48"/>
  <c r="AQ57" i="48"/>
  <c r="AQ60" i="48" s="1"/>
  <c r="AA60" i="48"/>
  <c r="AB33" i="48"/>
  <c r="AA361" i="48"/>
  <c r="AB313" i="48"/>
  <c r="AP311" i="48"/>
  <c r="AP156" i="48"/>
  <c r="AQ37" i="48"/>
  <c r="AQ39" i="48" s="1"/>
  <c r="AA33" i="48"/>
  <c r="AS377" i="48"/>
  <c r="AA224" i="48"/>
  <c r="AP308" i="48"/>
  <c r="AQ260" i="48"/>
  <c r="AQ261" i="48" s="1"/>
  <c r="AN152" i="48"/>
  <c r="AA261" i="48"/>
  <c r="AB373" i="48"/>
  <c r="AA69" i="48"/>
  <c r="AN56" i="48"/>
  <c r="AA335" i="48"/>
  <c r="AQ18" i="48"/>
  <c r="AQ20" i="48" s="1"/>
  <c r="AQ320" i="48"/>
  <c r="AQ324" i="48" s="1"/>
  <c r="AQ189" i="48"/>
  <c r="AQ193" i="48" s="1"/>
  <c r="AQ136" i="48"/>
  <c r="AQ141" i="48" s="1"/>
  <c r="AQ248" i="48"/>
  <c r="AQ252" i="48" s="1"/>
  <c r="AQ311" i="48"/>
  <c r="AQ92" i="48"/>
  <c r="AQ94" i="48" s="1"/>
  <c r="AN208" i="48"/>
  <c r="AN373" i="48"/>
  <c r="AB69" i="48"/>
  <c r="AP67" i="48"/>
  <c r="AQ271" i="48"/>
  <c r="AQ277" i="48" s="1"/>
  <c r="AP249" i="48"/>
  <c r="AQ131" i="48"/>
  <c r="AQ135" i="48" s="1"/>
  <c r="AQ99" i="48"/>
  <c r="AP347" i="48"/>
  <c r="AB350" i="48"/>
  <c r="AB374" i="48"/>
  <c r="AN278" i="48"/>
  <c r="AN281" i="48" s="1"/>
  <c r="AC278" i="48"/>
  <c r="AP95" i="48"/>
  <c r="AP98" i="48" s="1"/>
  <c r="AB98" i="48"/>
  <c r="AA13" i="48"/>
  <c r="AA380" i="48"/>
  <c r="AQ168" i="48"/>
  <c r="AQ173" i="48" s="1"/>
  <c r="AA277" i="48"/>
  <c r="AA152" i="48"/>
  <c r="AA66" i="48"/>
  <c r="AP147" i="48"/>
  <c r="AP152" i="48" s="1"/>
  <c r="AB152" i="48"/>
  <c r="AS372" i="48"/>
  <c r="AQ298" i="48"/>
  <c r="AQ300" i="48" s="1"/>
  <c r="AS242" i="48"/>
  <c r="AS379" i="48"/>
  <c r="AQ262" i="48"/>
  <c r="AQ264" i="48" s="1"/>
  <c r="AQ126" i="48"/>
  <c r="AQ130" i="48" s="1"/>
  <c r="AB27" i="48"/>
  <c r="AP25" i="48"/>
  <c r="AP27" i="48" s="1"/>
  <c r="AA350" i="48"/>
  <c r="AA27" i="48"/>
  <c r="AP284" i="48"/>
  <c r="AP164" i="48"/>
  <c r="AB167" i="48"/>
  <c r="AQ109" i="48"/>
  <c r="AC379" i="48"/>
  <c r="AN41" i="48"/>
  <c r="AN336" i="48"/>
  <c r="AN340" i="48" s="1"/>
  <c r="AC336" i="48"/>
  <c r="AB319" i="48"/>
  <c r="AP314" i="48"/>
  <c r="AA240" i="48"/>
  <c r="AP155" i="48"/>
  <c r="AP99" i="48"/>
  <c r="AB104" i="48"/>
  <c r="AP85" i="48"/>
  <c r="AN85" i="48"/>
  <c r="AN86" i="48" s="1"/>
  <c r="AC85" i="48"/>
  <c r="AE85" i="48" s="1"/>
  <c r="AQ21" i="48"/>
  <c r="AQ24" i="48" s="1"/>
  <c r="AA247" i="48"/>
  <c r="AP165" i="48"/>
  <c r="V377" i="48"/>
  <c r="AQ147" i="48"/>
  <c r="AQ152" i="48" s="1"/>
  <c r="AQ217" i="48"/>
  <c r="AQ221" i="48" s="1"/>
  <c r="AA43" i="48"/>
  <c r="AQ179" i="48"/>
  <c r="AP142" i="48"/>
  <c r="AP49" i="48"/>
  <c r="AB51" i="48"/>
  <c r="AB63" i="48"/>
  <c r="AP61" i="48"/>
  <c r="AA300" i="48"/>
  <c r="AN135" i="48"/>
  <c r="AN60" i="48"/>
  <c r="AB24" i="48"/>
  <c r="AP21" i="48"/>
  <c r="AP24" i="48" s="1"/>
  <c r="AA264" i="48"/>
  <c r="AA229" i="48"/>
  <c r="AA54" i="48"/>
  <c r="AN362" i="48"/>
  <c r="AN363" i="48" s="1"/>
  <c r="AC362" i="48"/>
  <c r="AB94" i="48"/>
  <c r="AP92" i="48"/>
  <c r="AN98" i="48"/>
  <c r="AP84" i="48"/>
  <c r="AQ40" i="48"/>
  <c r="AQ222" i="48"/>
  <c r="AB115" i="48"/>
  <c r="AP111" i="48"/>
  <c r="AS374" i="48"/>
  <c r="AQ44" i="48"/>
  <c r="AQ45" i="48" s="1"/>
  <c r="AA91" i="48"/>
  <c r="AP241" i="48"/>
  <c r="AP242" i="48" s="1"/>
  <c r="AB242" i="48"/>
  <c r="AP182" i="48"/>
  <c r="AN182" i="48"/>
  <c r="AC182" i="48"/>
  <c r="AE182" i="48" s="1"/>
  <c r="AB130" i="48"/>
  <c r="AP126" i="48"/>
  <c r="AN27" i="48"/>
  <c r="AB56" i="48"/>
  <c r="AP55" i="48"/>
  <c r="AP56" i="48" s="1"/>
  <c r="AQ14" i="48"/>
  <c r="AA319" i="48"/>
  <c r="AP226" i="48"/>
  <c r="AA125" i="48"/>
  <c r="AP223" i="48"/>
  <c r="AA178" i="48"/>
  <c r="AN20" i="48"/>
  <c r="AQ46" i="48"/>
  <c r="AQ48" i="48" s="1"/>
  <c r="AA216" i="48"/>
  <c r="AQ211" i="48"/>
  <c r="AQ213" i="48" s="1"/>
  <c r="AB39" i="48"/>
  <c r="AP37" i="48"/>
  <c r="AP39" i="48" s="1"/>
  <c r="AA287" i="48"/>
  <c r="AP243" i="48"/>
  <c r="AP247" i="48" s="1"/>
  <c r="AB247" i="48"/>
  <c r="AB188" i="48"/>
  <c r="AP184" i="48"/>
  <c r="AA24" i="48"/>
  <c r="AB240" i="48"/>
  <c r="AP234" i="48"/>
  <c r="AP240" i="48" s="1"/>
  <c r="AA242" i="48"/>
  <c r="AA379" i="48"/>
  <c r="AQ142" i="48"/>
  <c r="AQ73" i="48"/>
  <c r="AQ75" i="48" s="1"/>
  <c r="AB83" i="48"/>
  <c r="AP82" i="48"/>
  <c r="AP83" i="48" s="1"/>
  <c r="AP194" i="48"/>
  <c r="AP198" i="48" s="1"/>
  <c r="AB198" i="48"/>
  <c r="AO374" i="48"/>
  <c r="AO247" i="48"/>
  <c r="AO173" i="48"/>
  <c r="AA252" i="48"/>
  <c r="AN51" i="48"/>
  <c r="AA36" i="48"/>
  <c r="AQ325" i="48"/>
  <c r="AQ329" i="48" s="1"/>
  <c r="AN230" i="48"/>
  <c r="AN233" i="48" s="1"/>
  <c r="AC230" i="48"/>
  <c r="AQ164" i="48"/>
  <c r="AQ167" i="48" s="1"/>
  <c r="AP352" i="48"/>
  <c r="AN352" i="48"/>
  <c r="AC352" i="48"/>
  <c r="AE352" i="48" s="1"/>
  <c r="AA141" i="48"/>
  <c r="AB345" i="48"/>
  <c r="AN351" i="48"/>
  <c r="AC351" i="48"/>
  <c r="AP271" i="48"/>
  <c r="AP277" i="48" s="1"/>
  <c r="AB277" i="48"/>
  <c r="AP131" i="48"/>
  <c r="AP135" i="48" s="1"/>
  <c r="AB135" i="48"/>
  <c r="AB60" i="48"/>
  <c r="AP57" i="48"/>
  <c r="AP60" i="48" s="1"/>
  <c r="AP321" i="48"/>
  <c r="AQ209" i="48"/>
  <c r="AQ210" i="48" s="1"/>
  <c r="AA313" i="48"/>
  <c r="AN224" i="48"/>
  <c r="AN213" i="48"/>
  <c r="AA17" i="48"/>
  <c r="AN173" i="48"/>
  <c r="Z370" i="48"/>
  <c r="AO110" i="48"/>
  <c r="AQ243" i="48"/>
  <c r="AQ247" i="48" s="1"/>
  <c r="AB305" i="48"/>
  <c r="AQ288" i="48"/>
  <c r="AQ292" i="48" s="1"/>
  <c r="AQ234" i="48"/>
  <c r="AQ240" i="48" s="1"/>
  <c r="AA104" i="48"/>
  <c r="AA110" i="48"/>
  <c r="AB261" i="48"/>
  <c r="AP260" i="48"/>
  <c r="AP261" i="48" s="1"/>
  <c r="V372" i="48"/>
  <c r="AP225" i="48"/>
  <c r="AB229" i="48"/>
  <c r="AN300" i="48"/>
  <c r="AQ241" i="48"/>
  <c r="AQ242" i="48" s="1"/>
  <c r="AN264" i="48"/>
  <c r="AQ55" i="48"/>
  <c r="AQ56" i="48" s="1"/>
  <c r="AB17" i="48"/>
  <c r="AP14" i="48"/>
  <c r="AQ12" i="48"/>
  <c r="AC380" i="48"/>
  <c r="AQ226" i="48"/>
  <c r="AN141" i="48"/>
  <c r="AB20" i="48"/>
  <c r="AP18" i="48"/>
  <c r="AP20" i="48" s="1"/>
  <c r="AQ174" i="48"/>
  <c r="AQ178" i="48" s="1"/>
  <c r="AB287" i="48"/>
  <c r="AP282" i="48"/>
  <c r="AA173" i="48"/>
  <c r="AA45" i="48"/>
  <c r="AN324" i="48"/>
  <c r="AB120" i="48"/>
  <c r="AP116" i="48"/>
  <c r="AQ84" i="48"/>
  <c r="AN329" i="48"/>
  <c r="AP46" i="48"/>
  <c r="AB48" i="48"/>
  <c r="AP330" i="48"/>
  <c r="AP335" i="48" s="1"/>
  <c r="AB335" i="48"/>
  <c r="AQ282" i="48"/>
  <c r="AQ287" i="48" s="1"/>
  <c r="AB178" i="48"/>
  <c r="AP174" i="48"/>
  <c r="AP178" i="48" s="1"/>
  <c r="AP109" i="48"/>
  <c r="AB379" i="48"/>
  <c r="AQ61" i="48"/>
  <c r="AN146" i="48"/>
  <c r="AP157" i="48"/>
  <c r="AP89" i="48"/>
  <c r="AP345" i="48"/>
  <c r="AN193" i="48"/>
  <c r="AA98" i="48"/>
  <c r="AQ194" i="48"/>
  <c r="AQ198" i="48" s="1"/>
  <c r="AA75" i="48"/>
  <c r="AP318" i="48"/>
  <c r="AB213" i="48"/>
  <c r="AP211" i="48"/>
  <c r="AP213" i="48" s="1"/>
  <c r="AP187" i="48"/>
  <c r="AQ95" i="48"/>
  <c r="AQ98" i="48" s="1"/>
  <c r="AB216" i="48"/>
  <c r="AP168" i="48"/>
  <c r="AB173" i="48"/>
  <c r="AO24" i="48"/>
  <c r="AP305" i="48"/>
  <c r="AP121" i="48"/>
  <c r="AP125" i="48" s="1"/>
  <c r="AB125" i="48"/>
  <c r="AS13" i="48"/>
  <c r="AS380" i="48"/>
  <c r="AQ100" i="48"/>
  <c r="AN45" i="48"/>
  <c r="AP253" i="48"/>
  <c r="AP255" i="48" s="1"/>
  <c r="AB255" i="48"/>
  <c r="AB300" i="48"/>
  <c r="AP298" i="48"/>
  <c r="AP300" i="48" s="1"/>
  <c r="AN221" i="48"/>
  <c r="AP262" i="48"/>
  <c r="AP264" i="48" s="1"/>
  <c r="AB264" i="48"/>
  <c r="AA135" i="48"/>
  <c r="AQ25" i="48"/>
  <c r="AQ27" i="48" s="1"/>
  <c r="AQ342" i="48"/>
  <c r="AQ76" i="48"/>
  <c r="V378" i="48"/>
  <c r="AA48" i="48"/>
  <c r="AN70" i="48"/>
  <c r="AN72" i="48" s="1"/>
  <c r="AC70" i="48"/>
  <c r="AQ64" i="48"/>
  <c r="AQ66" i="48" s="1"/>
  <c r="AQ28" i="48"/>
  <c r="AQ30" i="48" s="1"/>
  <c r="AA345" i="48"/>
  <c r="AB292" i="48"/>
  <c r="AP288" i="48"/>
  <c r="AP292" i="48" s="1"/>
  <c r="AA41" i="48"/>
  <c r="AS371" i="48"/>
  <c r="AS17" i="48"/>
  <c r="AP100" i="48"/>
  <c r="AQ268" i="48"/>
  <c r="AQ270" i="48" s="1"/>
  <c r="AA221" i="48"/>
  <c r="AB183" i="48"/>
  <c r="AP179" i="48"/>
  <c r="AN167" i="48"/>
  <c r="AB89" i="48"/>
  <c r="AP47" i="48"/>
  <c r="AB193" i="48"/>
  <c r="AP189" i="48"/>
  <c r="AP193" i="48" s="1"/>
  <c r="AA89" i="48"/>
  <c r="AP317" i="48"/>
  <c r="AN252" i="48"/>
  <c r="AA329" i="48"/>
  <c r="AA183" i="48"/>
  <c r="AO104" i="48"/>
  <c r="AO372" i="48"/>
  <c r="AP40" i="48"/>
  <c r="AN247" i="48"/>
  <c r="AN292" i="48"/>
  <c r="AB224" i="48"/>
  <c r="AP222" i="48"/>
  <c r="AN240" i="48"/>
  <c r="AA193" i="48"/>
  <c r="AQ111" i="48"/>
  <c r="AL370" i="48"/>
  <c r="AB45" i="48"/>
  <c r="AP44" i="48"/>
  <c r="AP45" i="48" s="1"/>
  <c r="AA94" i="48"/>
  <c r="AA51" i="48"/>
  <c r="AN13" i="48"/>
  <c r="AN380" i="48"/>
  <c r="AN345" i="48"/>
  <c r="AQ90" i="48"/>
  <c r="AQ91" i="48" s="1"/>
  <c r="AP76" i="48"/>
  <c r="AB78" i="48"/>
  <c r="AB141" i="48"/>
  <c r="AP136" i="48"/>
  <c r="AP141" i="48" s="1"/>
  <c r="AQ103" i="48"/>
  <c r="AQ345" i="48" l="1"/>
  <c r="AE24" i="48"/>
  <c r="AE300" i="48"/>
  <c r="AE270" i="48"/>
  <c r="AE54" i="48"/>
  <c r="AE30" i="48"/>
  <c r="AE345" i="48"/>
  <c r="AE310" i="48"/>
  <c r="AE89" i="48"/>
  <c r="AE141" i="48"/>
  <c r="AC313" i="48"/>
  <c r="AE33" i="48"/>
  <c r="AC86" i="48"/>
  <c r="AE27" i="48"/>
  <c r="AE267" i="48"/>
  <c r="AE104" i="48"/>
  <c r="AE203" i="48"/>
  <c r="AE357" i="48"/>
  <c r="AE361" i="48" s="1"/>
  <c r="AC361" i="48"/>
  <c r="AE184" i="48"/>
  <c r="AE188" i="48" s="1"/>
  <c r="AC188" i="48"/>
  <c r="AE253" i="48"/>
  <c r="AE255" i="48" s="1"/>
  <c r="AC255" i="48"/>
  <c r="AM238" i="48"/>
  <c r="AM220" i="48"/>
  <c r="AE120" i="48"/>
  <c r="AE178" i="48"/>
  <c r="AE324" i="48"/>
  <c r="AE39" i="48"/>
  <c r="AE167" i="48"/>
  <c r="AE78" i="48"/>
  <c r="AE305" i="48"/>
  <c r="AE216" i="48"/>
  <c r="AC267" i="48"/>
  <c r="AE105" i="48"/>
  <c r="AE110" i="48" s="1"/>
  <c r="AC110" i="48"/>
  <c r="AE75" i="48"/>
  <c r="AE264" i="48"/>
  <c r="AE63" i="48"/>
  <c r="AE247" i="48"/>
  <c r="AE70" i="48"/>
  <c r="AE72" i="48" s="1"/>
  <c r="AC72" i="48"/>
  <c r="AE256" i="48"/>
  <c r="AE259" i="48" s="1"/>
  <c r="AC259" i="48"/>
  <c r="AE79" i="48"/>
  <c r="AE81" i="48" s="1"/>
  <c r="AC81" i="48"/>
  <c r="AE346" i="48"/>
  <c r="AE350" i="48" s="1"/>
  <c r="AC350" i="48"/>
  <c r="AE98" i="48"/>
  <c r="AE329" i="48"/>
  <c r="AE130" i="48"/>
  <c r="AE135" i="48"/>
  <c r="AE69" i="48"/>
  <c r="AE20" i="48"/>
  <c r="AE51" i="48"/>
  <c r="AE224" i="48"/>
  <c r="AE121" i="48"/>
  <c r="AE125" i="48" s="1"/>
  <c r="AC125" i="48"/>
  <c r="AE351" i="48"/>
  <c r="AE356" i="48" s="1"/>
  <c r="AC356" i="48"/>
  <c r="AE362" i="48"/>
  <c r="AE363" i="48" s="1"/>
  <c r="AC363" i="48"/>
  <c r="AE278" i="48"/>
  <c r="AE281" i="48" s="1"/>
  <c r="AC281" i="48"/>
  <c r="AQ305" i="48"/>
  <c r="AE225" i="48"/>
  <c r="AE229" i="48" s="1"/>
  <c r="AC229" i="48"/>
  <c r="AE82" i="48"/>
  <c r="AE83" i="48" s="1"/>
  <c r="AC83" i="48"/>
  <c r="AE330" i="48"/>
  <c r="AE335" i="48" s="1"/>
  <c r="AC335" i="48"/>
  <c r="AE204" i="48"/>
  <c r="AE208" i="48" s="1"/>
  <c r="AC208" i="48"/>
  <c r="AE292" i="48"/>
  <c r="AE60" i="48"/>
  <c r="AE17" i="48"/>
  <c r="AE198" i="48"/>
  <c r="AE183" i="48"/>
  <c r="AE66" i="48"/>
  <c r="AE252" i="48"/>
  <c r="AE146" i="48"/>
  <c r="AE173" i="48"/>
  <c r="AC120" i="48"/>
  <c r="AC203" i="48"/>
  <c r="AE153" i="48"/>
  <c r="AE158" i="48" s="1"/>
  <c r="AC158" i="48"/>
  <c r="AE314" i="48"/>
  <c r="AE319" i="48" s="1"/>
  <c r="AC319" i="48"/>
  <c r="AM166" i="48"/>
  <c r="AE152" i="48"/>
  <c r="AE193" i="48"/>
  <c r="AE240" i="48"/>
  <c r="AE313" i="48"/>
  <c r="AE48" i="48"/>
  <c r="AC115" i="48"/>
  <c r="AC69" i="48"/>
  <c r="AC216" i="48"/>
  <c r="AE159" i="48"/>
  <c r="AE163" i="48" s="1"/>
  <c r="AC163" i="48"/>
  <c r="AE230" i="48"/>
  <c r="AE233" i="48" s="1"/>
  <c r="AC233" i="48"/>
  <c r="AE336" i="48"/>
  <c r="AE340" i="48" s="1"/>
  <c r="AC340" i="48"/>
  <c r="AE293" i="48"/>
  <c r="AE297" i="48" s="1"/>
  <c r="AC297" i="48"/>
  <c r="AE34" i="48"/>
  <c r="AE36" i="48" s="1"/>
  <c r="AC36" i="48"/>
  <c r="AM306" i="48"/>
  <c r="AE287" i="48"/>
  <c r="AE86" i="48"/>
  <c r="AE94" i="48"/>
  <c r="AE221" i="48"/>
  <c r="AE115" i="48"/>
  <c r="AE277" i="48"/>
  <c r="AE366" i="48"/>
  <c r="AE213" i="48"/>
  <c r="AC183" i="48"/>
  <c r="AC310" i="48"/>
  <c r="AC17" i="48"/>
  <c r="AM219" i="48"/>
  <c r="AM113" i="48"/>
  <c r="AM304" i="48"/>
  <c r="AM19" i="48"/>
  <c r="AM244" i="48"/>
  <c r="AM145" i="48"/>
  <c r="AM343" i="48"/>
  <c r="AM316" i="48"/>
  <c r="AM171" i="48"/>
  <c r="AM301" i="48"/>
  <c r="AM96" i="48"/>
  <c r="AM338" i="48"/>
  <c r="AM235" i="48"/>
  <c r="AM124" i="48"/>
  <c r="AM286" i="48"/>
  <c r="AM308" i="48"/>
  <c r="AM258" i="48"/>
  <c r="AM344" i="48"/>
  <c r="AM276" i="48"/>
  <c r="AM354" i="48"/>
  <c r="AM239" i="48"/>
  <c r="AM22" i="48"/>
  <c r="AM334" i="48"/>
  <c r="AM284" i="48"/>
  <c r="AM279" i="48"/>
  <c r="AM12" i="48"/>
  <c r="AM295" i="48"/>
  <c r="AM26" i="48"/>
  <c r="AM47" i="48"/>
  <c r="AM133" i="48"/>
  <c r="AM138" i="48"/>
  <c r="AM251" i="48"/>
  <c r="AM275" i="48"/>
  <c r="AM328" i="48"/>
  <c r="AM134" i="48"/>
  <c r="AM291" i="48"/>
  <c r="AM50" i="48"/>
  <c r="AM148" i="48"/>
  <c r="AM176" i="48"/>
  <c r="AM296" i="48"/>
  <c r="AM358" i="48"/>
  <c r="AM58" i="48"/>
  <c r="AM326" i="48"/>
  <c r="AM38" i="48"/>
  <c r="AM35" i="48"/>
  <c r="AM228" i="48"/>
  <c r="AM349" i="48"/>
  <c r="AM206" i="48"/>
  <c r="AM232" i="48"/>
  <c r="AM107" i="48"/>
  <c r="AM205" i="48"/>
  <c r="AM327" i="48"/>
  <c r="AM269" i="48"/>
  <c r="AM272" i="48"/>
  <c r="AM126" i="48"/>
  <c r="AM323" i="48"/>
  <c r="AM150" i="48"/>
  <c r="AM355" i="48"/>
  <c r="AM59" i="48"/>
  <c r="AM157" i="48"/>
  <c r="AM139" i="48"/>
  <c r="AM294" i="48"/>
  <c r="AM347" i="48"/>
  <c r="AM29" i="48"/>
  <c r="AM144" i="48"/>
  <c r="AM207" i="48"/>
  <c r="AM342" i="48"/>
  <c r="AM322" i="48"/>
  <c r="AM212" i="48"/>
  <c r="AM80" i="48"/>
  <c r="AM263" i="48"/>
  <c r="AM348" i="48"/>
  <c r="AM156" i="48"/>
  <c r="AM177" i="48"/>
  <c r="AM254" i="48"/>
  <c r="AM321" i="48"/>
  <c r="AM246" i="48"/>
  <c r="AM302" i="48"/>
  <c r="AM181" i="48"/>
  <c r="AM339" i="48"/>
  <c r="AM161" i="48"/>
  <c r="AM365" i="48"/>
  <c r="AM170" i="48"/>
  <c r="AM299" i="48"/>
  <c r="AM187" i="48"/>
  <c r="AM231" i="48"/>
  <c r="AM333" i="48"/>
  <c r="AM226" i="48"/>
  <c r="AM140" i="48"/>
  <c r="AM318" i="48"/>
  <c r="AM245" i="48"/>
  <c r="AM129" i="48"/>
  <c r="AM274" i="48"/>
  <c r="AM196" i="48"/>
  <c r="AM108" i="48"/>
  <c r="AM192" i="48"/>
  <c r="AM290" i="48"/>
  <c r="AM77" i="48"/>
  <c r="AM237" i="48"/>
  <c r="AM97" i="48"/>
  <c r="AM337" i="48"/>
  <c r="AM280" i="48"/>
  <c r="AM317" i="48"/>
  <c r="AM151" i="48"/>
  <c r="AM303" i="48"/>
  <c r="AM202" i="48"/>
  <c r="AM265" i="48"/>
  <c r="AM46" i="48"/>
  <c r="AM341" i="48"/>
  <c r="AM32" i="48"/>
  <c r="AM92" i="48"/>
  <c r="AM211" i="48"/>
  <c r="AM23" i="48"/>
  <c r="AM65" i="48"/>
  <c r="AM88" i="48"/>
  <c r="AM68" i="48"/>
  <c r="AO367" i="48"/>
  <c r="AH13" i="47" s="1"/>
  <c r="AS367" i="48"/>
  <c r="AL13" i="47" s="1"/>
  <c r="V367" i="48"/>
  <c r="O13" i="47" s="1"/>
  <c r="AP120" i="48"/>
  <c r="AC374" i="48"/>
  <c r="AP350" i="48"/>
  <c r="AP115" i="48"/>
  <c r="AN188" i="48"/>
  <c r="AP51" i="48"/>
  <c r="AP173" i="48"/>
  <c r="AC373" i="48"/>
  <c r="AQ204" i="48"/>
  <c r="AQ373" i="48" s="1"/>
  <c r="AQ314" i="48"/>
  <c r="AQ319" i="48" s="1"/>
  <c r="AP94" i="48"/>
  <c r="AP183" i="48"/>
  <c r="AP313" i="48"/>
  <c r="AQ225" i="48"/>
  <c r="AQ229" i="48" s="1"/>
  <c r="AP78" i="48"/>
  <c r="AQ85" i="48"/>
  <c r="AQ86" i="48" s="1"/>
  <c r="AM85" i="48"/>
  <c r="AQ215" i="48"/>
  <c r="AQ216" i="48" s="1"/>
  <c r="AM215" i="48"/>
  <c r="AQ121" i="48"/>
  <c r="AQ125" i="48" s="1"/>
  <c r="AQ114" i="48"/>
  <c r="AQ115" i="48" s="1"/>
  <c r="AM114" i="48"/>
  <c r="AQ352" i="48"/>
  <c r="AM352" i="48"/>
  <c r="AQ155" i="48"/>
  <c r="AM155" i="48"/>
  <c r="AQ51" i="48"/>
  <c r="AQ182" i="48"/>
  <c r="AQ183" i="48" s="1"/>
  <c r="AM182" i="48"/>
  <c r="AQ357" i="48"/>
  <c r="AQ361" i="48" s="1"/>
  <c r="AQ346" i="48"/>
  <c r="AQ350" i="48" s="1"/>
  <c r="AQ309" i="48"/>
  <c r="AQ310" i="48" s="1"/>
  <c r="AM309" i="48"/>
  <c r="AQ330" i="48"/>
  <c r="AQ335" i="48" s="1"/>
  <c r="AQ224" i="48"/>
  <c r="AQ41" i="48"/>
  <c r="AQ68" i="48"/>
  <c r="AQ69" i="48" s="1"/>
  <c r="AQ63" i="48"/>
  <c r="AQ146" i="48"/>
  <c r="AQ78" i="48"/>
  <c r="AQ312" i="48"/>
  <c r="AQ313" i="48" s="1"/>
  <c r="AM312" i="48"/>
  <c r="AQ15" i="48"/>
  <c r="AQ17" i="48" s="1"/>
  <c r="AM15" i="48"/>
  <c r="AQ119" i="48"/>
  <c r="AQ120" i="48" s="1"/>
  <c r="AM119" i="48"/>
  <c r="AP69" i="48"/>
  <c r="AO370" i="48"/>
  <c r="AP310" i="48"/>
  <c r="AP130" i="48"/>
  <c r="AP224" i="48"/>
  <c r="AP63" i="48"/>
  <c r="AN378" i="48"/>
  <c r="AM62" i="48"/>
  <c r="AP204" i="48"/>
  <c r="AP208" i="48" s="1"/>
  <c r="AB208" i="48"/>
  <c r="AQ293" i="48"/>
  <c r="AQ297" i="48" s="1"/>
  <c r="AQ253" i="48"/>
  <c r="AQ255" i="48" s="1"/>
  <c r="AM93" i="48"/>
  <c r="AB110" i="48"/>
  <c r="AQ105" i="48"/>
  <c r="AQ110" i="48" s="1"/>
  <c r="AM199" i="48"/>
  <c r="AQ82" i="48"/>
  <c r="AQ83" i="48" s="1"/>
  <c r="AM18" i="48"/>
  <c r="AB30" i="48"/>
  <c r="AN203" i="48"/>
  <c r="AB36" i="48"/>
  <c r="AP34" i="48"/>
  <c r="AP36" i="48" s="1"/>
  <c r="AQ34" i="48"/>
  <c r="AQ36" i="48" s="1"/>
  <c r="AM320" i="48"/>
  <c r="AA373" i="48"/>
  <c r="AA198" i="48"/>
  <c r="AQ184" i="48"/>
  <c r="AQ188" i="48" s="1"/>
  <c r="AB86" i="48"/>
  <c r="AN372" i="48"/>
  <c r="AA378" i="48"/>
  <c r="AA292" i="48"/>
  <c r="AB372" i="48"/>
  <c r="AA377" i="48"/>
  <c r="T33" i="47" s="1"/>
  <c r="AA270" i="48"/>
  <c r="V370" i="48"/>
  <c r="AA369" i="48" s="1"/>
  <c r="AA81" i="48"/>
  <c r="AB163" i="48"/>
  <c r="AP159" i="48"/>
  <c r="AP163" i="48" s="1"/>
  <c r="AB371" i="48"/>
  <c r="AA163" i="48"/>
  <c r="AP287" i="48"/>
  <c r="AP324" i="48"/>
  <c r="AB361" i="48"/>
  <c r="AP357" i="48"/>
  <c r="AP361" i="48" s="1"/>
  <c r="AB259" i="48"/>
  <c r="AP256" i="48"/>
  <c r="AP259" i="48" s="1"/>
  <c r="AM165" i="48"/>
  <c r="AQ256" i="48"/>
  <c r="AQ259" i="48" s="1"/>
  <c r="AB81" i="48"/>
  <c r="AP79" i="48"/>
  <c r="AP81" i="48" s="1"/>
  <c r="AA267" i="48"/>
  <c r="AQ159" i="48"/>
  <c r="AQ163" i="48" s="1"/>
  <c r="AA83" i="48"/>
  <c r="AN377" i="48"/>
  <c r="AQ201" i="48"/>
  <c r="AQ203" i="48" s="1"/>
  <c r="AA203" i="48"/>
  <c r="AQ266" i="48"/>
  <c r="AQ267" i="48" s="1"/>
  <c r="AP48" i="48"/>
  <c r="AA371" i="48"/>
  <c r="AP86" i="48"/>
  <c r="AQ43" i="48"/>
  <c r="AP266" i="48"/>
  <c r="AP267" i="48" s="1"/>
  <c r="AB267" i="48"/>
  <c r="AC378" i="48"/>
  <c r="AP201" i="48"/>
  <c r="AP203" i="48" s="1"/>
  <c r="AB203" i="48"/>
  <c r="AP43" i="48"/>
  <c r="AB43" i="48"/>
  <c r="AQ79" i="48"/>
  <c r="AQ81" i="48" s="1"/>
  <c r="AM147" i="48"/>
  <c r="AM73" i="48"/>
  <c r="AM75" i="48" s="1"/>
  <c r="AQ351" i="48"/>
  <c r="AM288" i="48"/>
  <c r="AM243" i="48"/>
  <c r="AP104" i="48"/>
  <c r="AQ336" i="48"/>
  <c r="AQ340" i="48" s="1"/>
  <c r="AE380" i="48"/>
  <c r="AA233" i="48"/>
  <c r="AM76" i="48"/>
  <c r="AB41" i="48"/>
  <c r="AM325" i="48"/>
  <c r="AC372" i="48"/>
  <c r="AN356" i="48"/>
  <c r="AM21" i="48"/>
  <c r="AM52" i="48"/>
  <c r="AM54" i="48" s="1"/>
  <c r="AA158" i="48"/>
  <c r="AN374" i="48"/>
  <c r="AQ278" i="48"/>
  <c r="AQ281" i="48" s="1"/>
  <c r="AM260" i="48"/>
  <c r="AM261" i="48" s="1"/>
  <c r="AM57" i="48"/>
  <c r="AM14" i="48"/>
  <c r="AM282" i="48"/>
  <c r="AM268" i="48"/>
  <c r="AP41" i="48"/>
  <c r="AA363" i="48"/>
  <c r="AM87" i="48"/>
  <c r="AM217" i="48"/>
  <c r="AM222" i="48"/>
  <c r="AS370" i="48"/>
  <c r="AM164" i="48"/>
  <c r="AN183" i="48"/>
  <c r="AP17" i="48"/>
  <c r="AM174" i="48"/>
  <c r="AQ362" i="48"/>
  <c r="AQ363" i="48" s="1"/>
  <c r="AB146" i="48"/>
  <c r="AQ379" i="48"/>
  <c r="AM271" i="48"/>
  <c r="AQ104" i="48"/>
  <c r="AP110" i="48"/>
  <c r="AQ153" i="48"/>
  <c r="AM364" i="48"/>
  <c r="AP378" i="48"/>
  <c r="AM31" i="48"/>
  <c r="AN371" i="48"/>
  <c r="AM131" i="48"/>
  <c r="AM194" i="48"/>
  <c r="AP351" i="48"/>
  <c r="AP356" i="48" s="1"/>
  <c r="AB356" i="48"/>
  <c r="AQ230" i="48"/>
  <c r="AQ233" i="48" s="1"/>
  <c r="AP188" i="48"/>
  <c r="AM262" i="48"/>
  <c r="AM64" i="48"/>
  <c r="AM142" i="48"/>
  <c r="AM95" i="48"/>
  <c r="AM109" i="48"/>
  <c r="AE379" i="48"/>
  <c r="AM44" i="48"/>
  <c r="AM45" i="48" s="1"/>
  <c r="AM241" i="48"/>
  <c r="AM242" i="48" s="1"/>
  <c r="AA146" i="48"/>
  <c r="AP146" i="48"/>
  <c r="AM209" i="48"/>
  <c r="AM210" i="48" s="1"/>
  <c r="AM234" i="48"/>
  <c r="AB281" i="48"/>
  <c r="AP278" i="48"/>
  <c r="AP281" i="48" s="1"/>
  <c r="AM84" i="48"/>
  <c r="AP13" i="48"/>
  <c r="AP380" i="48"/>
  <c r="AM179" i="48"/>
  <c r="AA340" i="48"/>
  <c r="AM100" i="48"/>
  <c r="AM214" i="48"/>
  <c r="AB340" i="48"/>
  <c r="AP336" i="48"/>
  <c r="AP340" i="48" s="1"/>
  <c r="AB378" i="48"/>
  <c r="AM116" i="48"/>
  <c r="AM189" i="48"/>
  <c r="AM40" i="48"/>
  <c r="AQ70" i="48"/>
  <c r="AQ72" i="48" s="1"/>
  <c r="AM168" i="48"/>
  <c r="AM103" i="48"/>
  <c r="AB233" i="48"/>
  <c r="AP230" i="48"/>
  <c r="AP233" i="48" s="1"/>
  <c r="AA281" i="48"/>
  <c r="AA374" i="48"/>
  <c r="AC371" i="48"/>
  <c r="AP319" i="48"/>
  <c r="AP167" i="48"/>
  <c r="AM25" i="48"/>
  <c r="AA56" i="48"/>
  <c r="AP153" i="48"/>
  <c r="AP158" i="48" s="1"/>
  <c r="AB158" i="48"/>
  <c r="AP252" i="48"/>
  <c r="AA115" i="48"/>
  <c r="AA372" i="48"/>
  <c r="AM99" i="48"/>
  <c r="AA72" i="48"/>
  <c r="AM90" i="48"/>
  <c r="AM91" i="48" s="1"/>
  <c r="AM67" i="48"/>
  <c r="AB72" i="48"/>
  <c r="AP70" i="48"/>
  <c r="AP72" i="48" s="1"/>
  <c r="AQ13" i="48"/>
  <c r="AQ380" i="48"/>
  <c r="AM49" i="48"/>
  <c r="AM37" i="48"/>
  <c r="AP379" i="48"/>
  <c r="AP229" i="48"/>
  <c r="AM311" i="48"/>
  <c r="AM136" i="48"/>
  <c r="AM248" i="48"/>
  <c r="AN78" i="48"/>
  <c r="AB363" i="48"/>
  <c r="AP362" i="48"/>
  <c r="AP363" i="48" s="1"/>
  <c r="AM298" i="48"/>
  <c r="AM42" i="48"/>
  <c r="AB377" i="48"/>
  <c r="AM55" i="48"/>
  <c r="AM56" i="48" s="1"/>
  <c r="AC377" i="48"/>
  <c r="AP329" i="48"/>
  <c r="AM61" i="48"/>
  <c r="AM264" i="48" l="1"/>
  <c r="AM27" i="48"/>
  <c r="AM184" i="48"/>
  <c r="AM188" i="48" s="1"/>
  <c r="AM314" i="48"/>
  <c r="AM319" i="48" s="1"/>
  <c r="AM198" i="48"/>
  <c r="AM130" i="48"/>
  <c r="AM351" i="48"/>
  <c r="AM356" i="48" s="1"/>
  <c r="AM39" i="48"/>
  <c r="AE373" i="48"/>
  <c r="AM253" i="48"/>
  <c r="AM255" i="48" s="1"/>
  <c r="AM204" i="48"/>
  <c r="AM208" i="48" s="1"/>
  <c r="AM252" i="48"/>
  <c r="AM193" i="48"/>
  <c r="AM98" i="48"/>
  <c r="AM48" i="48"/>
  <c r="AM366" i="48"/>
  <c r="AM305" i="48"/>
  <c r="AM270" i="48"/>
  <c r="AM159" i="48"/>
  <c r="AM163" i="48" s="1"/>
  <c r="AM105" i="48"/>
  <c r="AM110" i="48" s="1"/>
  <c r="AM60" i="48"/>
  <c r="AM292" i="48"/>
  <c r="AM213" i="48"/>
  <c r="AM173" i="48"/>
  <c r="AM135" i="48"/>
  <c r="AM345" i="48"/>
  <c r="AM310" i="48"/>
  <c r="AM277" i="48"/>
  <c r="AM178" i="48"/>
  <c r="AM287" i="48"/>
  <c r="AM221" i="48"/>
  <c r="AM329" i="48"/>
  <c r="AM324" i="48"/>
  <c r="AM141" i="48"/>
  <c r="AM152" i="48"/>
  <c r="AM20" i="48"/>
  <c r="AM240" i="48"/>
  <c r="AM300" i="48"/>
  <c r="AM247" i="48"/>
  <c r="AE367" i="48"/>
  <c r="X13" i="47" s="1"/>
  <c r="AA368" i="48"/>
  <c r="AM33" i="48"/>
  <c r="AM94" i="48"/>
  <c r="AM89" i="48"/>
  <c r="AM24" i="48"/>
  <c r="AM66" i="48"/>
  <c r="AM121" i="48"/>
  <c r="AM125" i="48" s="1"/>
  <c r="AN367" i="48"/>
  <c r="AG13" i="47" s="1"/>
  <c r="AP367" i="48"/>
  <c r="AI13" i="47" s="1"/>
  <c r="AA367" i="48"/>
  <c r="T13" i="47" s="1"/>
  <c r="AB367" i="48"/>
  <c r="U13" i="47" s="1"/>
  <c r="AC367" i="48"/>
  <c r="V13" i="47" s="1"/>
  <c r="AQ356" i="48"/>
  <c r="AM43" i="48"/>
  <c r="AQ208" i="48"/>
  <c r="AM63" i="48"/>
  <c r="AP377" i="48"/>
  <c r="AM224" i="48"/>
  <c r="AQ378" i="48"/>
  <c r="AM86" i="48"/>
  <c r="AM216" i="48"/>
  <c r="AQ158" i="48"/>
  <c r="AM51" i="48"/>
  <c r="AM120" i="48"/>
  <c r="AQ377" i="48"/>
  <c r="AM167" i="48"/>
  <c r="AM69" i="48"/>
  <c r="AM313" i="48"/>
  <c r="AN370" i="48"/>
  <c r="AP373" i="48"/>
  <c r="AM34" i="48"/>
  <c r="AM36" i="48" s="1"/>
  <c r="AM330" i="48"/>
  <c r="AM335" i="48" s="1"/>
  <c r="AM28" i="48"/>
  <c r="AM30" i="48" s="1"/>
  <c r="AM225" i="48"/>
  <c r="AM229" i="48" s="1"/>
  <c r="AM82" i="48"/>
  <c r="AM83" i="48" s="1"/>
  <c r="AM346" i="48"/>
  <c r="AM350" i="48" s="1"/>
  <c r="AM293" i="48"/>
  <c r="AM297" i="48" s="1"/>
  <c r="AM357" i="48"/>
  <c r="AM361" i="48" s="1"/>
  <c r="AB370" i="48"/>
  <c r="AM379" i="48"/>
  <c r="AQ371" i="48"/>
  <c r="AE378" i="48"/>
  <c r="AM41" i="48"/>
  <c r="AA370" i="48"/>
  <c r="AM146" i="48"/>
  <c r="AE371" i="48"/>
  <c r="AP374" i="48"/>
  <c r="AM183" i="48"/>
  <c r="AM201" i="48"/>
  <c r="AM203" i="48" s="1"/>
  <c r="AM78" i="48"/>
  <c r="AE372" i="48"/>
  <c r="AM79" i="48"/>
  <c r="AM81" i="48" s="1"/>
  <c r="AM104" i="48"/>
  <c r="AM378" i="48"/>
  <c r="AM266" i="48"/>
  <c r="AM267" i="48" s="1"/>
  <c r="AC370" i="48"/>
  <c r="AM377" i="48"/>
  <c r="AP372" i="48"/>
  <c r="AM256" i="48"/>
  <c r="AM259" i="48" s="1"/>
  <c r="AM230" i="48"/>
  <c r="AM233" i="48" s="1"/>
  <c r="AM362" i="48"/>
  <c r="AM363" i="48" s="1"/>
  <c r="AM111" i="48"/>
  <c r="AM115" i="48" s="1"/>
  <c r="AM70" i="48"/>
  <c r="AM72" i="48" s="1"/>
  <c r="AM278" i="48"/>
  <c r="AE374" i="48"/>
  <c r="AM17" i="48"/>
  <c r="AM336" i="48"/>
  <c r="AM340" i="48" s="1"/>
  <c r="AM153" i="48"/>
  <c r="AM158" i="48" s="1"/>
  <c r="AQ372" i="48"/>
  <c r="AP371" i="48"/>
  <c r="AM13" i="48"/>
  <c r="AM380" i="48"/>
  <c r="AQ374" i="48"/>
  <c r="AE377" i="48"/>
  <c r="AM373" i="48" l="1"/>
  <c r="AE368" i="48"/>
  <c r="AE369" i="48"/>
  <c r="AQ367" i="48"/>
  <c r="AJ13" i="47" s="1"/>
  <c r="AP370" i="48"/>
  <c r="AQ370" i="48"/>
  <c r="AE370" i="48"/>
  <c r="AM281" i="48"/>
  <c r="AM367" i="48" s="1"/>
  <c r="AF13" i="47" s="1"/>
  <c r="AM374" i="48"/>
  <c r="AM371" i="48"/>
  <c r="AM372" i="48"/>
  <c r="AM369" i="48" l="1"/>
  <c r="AM368" i="48"/>
  <c r="AM370" i="48"/>
  <c r="Y102" i="44" l="1"/>
  <c r="X102" i="44"/>
  <c r="Y97" i="44"/>
  <c r="X97" i="44"/>
  <c r="Y89" i="44"/>
  <c r="X89" i="44"/>
  <c r="Y87" i="44"/>
  <c r="X87" i="44"/>
  <c r="Y81" i="44"/>
  <c r="X81" i="44"/>
  <c r="Y79" i="44"/>
  <c r="X79" i="44"/>
  <c r="Y76" i="44"/>
  <c r="X76" i="44"/>
  <c r="Y71" i="44"/>
  <c r="X71" i="44"/>
  <c r="Y68" i="44"/>
  <c r="X68" i="44"/>
  <c r="Y65" i="44"/>
  <c r="X65" i="44"/>
  <c r="Y60" i="44"/>
  <c r="X60" i="44"/>
  <c r="Y55" i="44"/>
  <c r="X55" i="44"/>
  <c r="Y49" i="44"/>
  <c r="X49" i="44"/>
  <c r="Y44" i="44"/>
  <c r="X44" i="44"/>
  <c r="Y39" i="44"/>
  <c r="X39" i="44"/>
  <c r="Y34" i="44"/>
  <c r="X34" i="44"/>
  <c r="Y29" i="44"/>
  <c r="X29" i="44"/>
  <c r="Y24" i="44"/>
  <c r="X24" i="44"/>
  <c r="Y16" i="44"/>
  <c r="X16" i="44"/>
  <c r="P82" i="44"/>
  <c r="V82" i="44" l="1"/>
  <c r="AN82" i="44" s="1"/>
  <c r="W103" i="44"/>
  <c r="P14" i="47" s="1"/>
  <c r="AF103" i="44"/>
  <c r="Y14" i="47" s="1"/>
  <c r="X103" i="44"/>
  <c r="Q14" i="47" s="1"/>
  <c r="Y103" i="44"/>
  <c r="R14" i="47" s="1"/>
  <c r="AK102" i="44"/>
  <c r="AJ102" i="44"/>
  <c r="AI102" i="44"/>
  <c r="AH102" i="44"/>
  <c r="U102" i="44"/>
  <c r="T102" i="44"/>
  <c r="S102" i="44"/>
  <c r="R102" i="44"/>
  <c r="AK97" i="44"/>
  <c r="AJ97" i="44"/>
  <c r="AI97" i="44"/>
  <c r="AH97" i="44"/>
  <c r="U97" i="44"/>
  <c r="T97" i="44"/>
  <c r="S97" i="44"/>
  <c r="R97" i="44"/>
  <c r="AK89" i="44"/>
  <c r="AJ89" i="44"/>
  <c r="AI89" i="44"/>
  <c r="AH89" i="44"/>
  <c r="U89" i="44"/>
  <c r="T89" i="44"/>
  <c r="S89" i="44"/>
  <c r="R89" i="44"/>
  <c r="AK87" i="44"/>
  <c r="AJ87" i="44"/>
  <c r="AI87" i="44"/>
  <c r="AH87" i="44"/>
  <c r="U87" i="44"/>
  <c r="T87" i="44"/>
  <c r="S87" i="44"/>
  <c r="R87" i="44"/>
  <c r="AK81" i="44"/>
  <c r="AJ81" i="44"/>
  <c r="AI81" i="44"/>
  <c r="AH81" i="44"/>
  <c r="U81" i="44"/>
  <c r="T81" i="44"/>
  <c r="S81" i="44"/>
  <c r="R81" i="44"/>
  <c r="AK79" i="44"/>
  <c r="AJ79" i="44"/>
  <c r="AI79" i="44"/>
  <c r="AH79" i="44"/>
  <c r="U79" i="44"/>
  <c r="T79" i="44"/>
  <c r="S79" i="44"/>
  <c r="R79" i="44"/>
  <c r="AK76" i="44"/>
  <c r="AJ76" i="44"/>
  <c r="AI76" i="44"/>
  <c r="AH76" i="44"/>
  <c r="U76" i="44"/>
  <c r="T76" i="44"/>
  <c r="S76" i="44"/>
  <c r="R76" i="44"/>
  <c r="AK71" i="44"/>
  <c r="AJ71" i="44"/>
  <c r="AI71" i="44"/>
  <c r="AH71" i="44"/>
  <c r="U71" i="44"/>
  <c r="T71" i="44"/>
  <c r="S71" i="44"/>
  <c r="R71" i="44"/>
  <c r="AK68" i="44"/>
  <c r="AJ68" i="44"/>
  <c r="AI68" i="44"/>
  <c r="AH68" i="44"/>
  <c r="U68" i="44"/>
  <c r="T68" i="44"/>
  <c r="S68" i="44"/>
  <c r="R68" i="44"/>
  <c r="AK65" i="44"/>
  <c r="AJ65" i="44"/>
  <c r="AI65" i="44"/>
  <c r="AH65" i="44"/>
  <c r="U65" i="44"/>
  <c r="T65" i="44"/>
  <c r="S65" i="44"/>
  <c r="R65" i="44"/>
  <c r="AK60" i="44"/>
  <c r="AJ60" i="44"/>
  <c r="AI60" i="44"/>
  <c r="AH60" i="44"/>
  <c r="U60" i="44"/>
  <c r="T60" i="44"/>
  <c r="S60" i="44"/>
  <c r="R60" i="44"/>
  <c r="AK55" i="44"/>
  <c r="AJ55" i="44"/>
  <c r="AI55" i="44"/>
  <c r="AH55" i="44"/>
  <c r="U55" i="44"/>
  <c r="T55" i="44"/>
  <c r="S55" i="44"/>
  <c r="R55" i="44"/>
  <c r="AK49" i="44"/>
  <c r="AJ49" i="44"/>
  <c r="AI49" i="44"/>
  <c r="AH49" i="44"/>
  <c r="U49" i="44"/>
  <c r="T49" i="44"/>
  <c r="S49" i="44"/>
  <c r="R49" i="44"/>
  <c r="AK44" i="44"/>
  <c r="AJ44" i="44"/>
  <c r="AI44" i="44"/>
  <c r="AH44" i="44"/>
  <c r="U44" i="44"/>
  <c r="T44" i="44"/>
  <c r="S44" i="44"/>
  <c r="R44" i="44"/>
  <c r="AK39" i="44"/>
  <c r="AJ39" i="44"/>
  <c r="AI39" i="44"/>
  <c r="AH39" i="44"/>
  <c r="U39" i="44"/>
  <c r="T39" i="44"/>
  <c r="S39" i="44"/>
  <c r="R39" i="44"/>
  <c r="AK34" i="44"/>
  <c r="AJ34" i="44"/>
  <c r="AI34" i="44"/>
  <c r="AH34" i="44"/>
  <c r="U34" i="44"/>
  <c r="T34" i="44"/>
  <c r="S34" i="44"/>
  <c r="R34" i="44"/>
  <c r="AK29" i="44"/>
  <c r="AJ29" i="44"/>
  <c r="AI29" i="44"/>
  <c r="AH29" i="44"/>
  <c r="U29" i="44"/>
  <c r="T29" i="44"/>
  <c r="S29" i="44"/>
  <c r="R29" i="44"/>
  <c r="AK24" i="44"/>
  <c r="AJ24" i="44"/>
  <c r="AI24" i="44"/>
  <c r="AH24" i="44"/>
  <c r="U24" i="44"/>
  <c r="T24" i="44"/>
  <c r="S24" i="44"/>
  <c r="R24" i="44"/>
  <c r="AK16" i="44"/>
  <c r="AJ16" i="44"/>
  <c r="AI16" i="44"/>
  <c r="AH16" i="44"/>
  <c r="U16" i="44"/>
  <c r="T16" i="44"/>
  <c r="S16" i="44"/>
  <c r="R16" i="44"/>
  <c r="P101" i="44"/>
  <c r="P100" i="44"/>
  <c r="P99" i="44"/>
  <c r="P98" i="44"/>
  <c r="P96" i="44"/>
  <c r="P95" i="44"/>
  <c r="P94" i="44"/>
  <c r="P92" i="44"/>
  <c r="P91" i="44"/>
  <c r="P90" i="44"/>
  <c r="P88" i="44"/>
  <c r="P86" i="44"/>
  <c r="P83" i="44"/>
  <c r="P80" i="44"/>
  <c r="P78" i="44"/>
  <c r="P77" i="44"/>
  <c r="P75" i="44"/>
  <c r="P74" i="44"/>
  <c r="P73" i="44"/>
  <c r="P72" i="44"/>
  <c r="P70" i="44"/>
  <c r="P69" i="44"/>
  <c r="P67" i="44"/>
  <c r="P66" i="44"/>
  <c r="P64" i="44"/>
  <c r="P63" i="44"/>
  <c r="P62" i="44"/>
  <c r="P61" i="44"/>
  <c r="P59" i="44"/>
  <c r="P58" i="44"/>
  <c r="P57" i="44"/>
  <c r="P56" i="44"/>
  <c r="P54" i="44"/>
  <c r="P53" i="44"/>
  <c r="P51" i="44"/>
  <c r="P50" i="44"/>
  <c r="P48" i="44"/>
  <c r="P47" i="44"/>
  <c r="P46" i="44"/>
  <c r="P45" i="44"/>
  <c r="P43" i="44"/>
  <c r="P42" i="44"/>
  <c r="P41" i="44"/>
  <c r="P40" i="44"/>
  <c r="P38" i="44"/>
  <c r="P37" i="44"/>
  <c r="P36" i="44"/>
  <c r="P35" i="44"/>
  <c r="P33" i="44"/>
  <c r="P32" i="44"/>
  <c r="P31" i="44"/>
  <c r="P30" i="44"/>
  <c r="P28" i="44"/>
  <c r="P27" i="44"/>
  <c r="P26" i="44"/>
  <c r="P25" i="44"/>
  <c r="P23" i="44"/>
  <c r="P22" i="44"/>
  <c r="P21" i="44"/>
  <c r="P20" i="44"/>
  <c r="P18" i="44"/>
  <c r="P17" i="44"/>
  <c r="P15" i="44"/>
  <c r="P14" i="44"/>
  <c r="P13" i="44"/>
  <c r="AB82" i="44" l="1"/>
  <c r="AP82" i="44" s="1"/>
  <c r="AA82" i="44"/>
  <c r="V101" i="44"/>
  <c r="V100" i="44"/>
  <c r="V99" i="44"/>
  <c r="V98" i="44"/>
  <c r="V96" i="44"/>
  <c r="V95" i="44"/>
  <c r="V94" i="44"/>
  <c r="V92" i="44"/>
  <c r="V91" i="44"/>
  <c r="V90" i="44"/>
  <c r="V88" i="44"/>
  <c r="AB88" i="44" s="1"/>
  <c r="AP88" i="44" s="1"/>
  <c r="V86" i="44"/>
  <c r="V85" i="44"/>
  <c r="V83" i="44"/>
  <c r="AB83" i="44" s="1"/>
  <c r="AP83" i="44" s="1"/>
  <c r="V80" i="44"/>
  <c r="V78" i="44"/>
  <c r="V77" i="44"/>
  <c r="AB77" i="44" s="1"/>
  <c r="AP77" i="44" s="1"/>
  <c r="V75" i="44"/>
  <c r="V74" i="44"/>
  <c r="AC74" i="44" s="1"/>
  <c r="AQ74" i="44" s="1"/>
  <c r="V73" i="44"/>
  <c r="V72" i="44"/>
  <c r="AB72" i="44" s="1"/>
  <c r="AP72" i="44" s="1"/>
  <c r="V70" i="44"/>
  <c r="V69" i="44"/>
  <c r="V67" i="44"/>
  <c r="V66" i="44"/>
  <c r="V64" i="44"/>
  <c r="V63" i="44"/>
  <c r="V62" i="44"/>
  <c r="V61" i="44"/>
  <c r="V59" i="44"/>
  <c r="AB59" i="44" s="1"/>
  <c r="AP59" i="44" s="1"/>
  <c r="V58" i="44"/>
  <c r="V57" i="44"/>
  <c r="V56" i="44"/>
  <c r="V54" i="44"/>
  <c r="AN54" i="44" s="1"/>
  <c r="V53" i="44"/>
  <c r="V51" i="44"/>
  <c r="V50" i="44"/>
  <c r="V48" i="44"/>
  <c r="AB48" i="44" s="1"/>
  <c r="AP48" i="44" s="1"/>
  <c r="V47" i="44"/>
  <c r="V46" i="44"/>
  <c r="V45" i="44"/>
  <c r="V43" i="44"/>
  <c r="V42" i="44"/>
  <c r="V41" i="44"/>
  <c r="V40" i="44"/>
  <c r="V38" i="44"/>
  <c r="AB38" i="44" s="1"/>
  <c r="AP38" i="44" s="1"/>
  <c r="V37" i="44"/>
  <c r="V36" i="44"/>
  <c r="AA36" i="44" s="1"/>
  <c r="V35" i="44"/>
  <c r="V33" i="44"/>
  <c r="V32" i="44"/>
  <c r="V31" i="44"/>
  <c r="V30" i="44"/>
  <c r="V28" i="44"/>
  <c r="V27" i="44"/>
  <c r="V26" i="44"/>
  <c r="V25" i="44"/>
  <c r="V23" i="44"/>
  <c r="V22" i="44"/>
  <c r="V21" i="44"/>
  <c r="V20" i="44"/>
  <c r="V18" i="44"/>
  <c r="V17" i="44"/>
  <c r="V15" i="44"/>
  <c r="V14" i="44"/>
  <c r="V13" i="44"/>
  <c r="Z104" i="44"/>
  <c r="AK103" i="44"/>
  <c r="AD14" i="47" s="1"/>
  <c r="AJ103" i="44"/>
  <c r="AC14" i="47" s="1"/>
  <c r="T103" i="44"/>
  <c r="M14" i="47" s="1"/>
  <c r="S103" i="44"/>
  <c r="L14" i="47" s="1"/>
  <c r="U103" i="44"/>
  <c r="N14" i="47" s="1"/>
  <c r="AG103" i="44"/>
  <c r="Z14" i="47" s="1"/>
  <c r="R103" i="44"/>
  <c r="K14" i="47" s="1"/>
  <c r="AH103" i="44"/>
  <c r="AA14" i="47" s="1"/>
  <c r="AI103" i="44"/>
  <c r="AB14" i="47" s="1"/>
  <c r="P68" i="44"/>
  <c r="P65" i="44"/>
  <c r="P76" i="44"/>
  <c r="P71" i="44"/>
  <c r="P29" i="44"/>
  <c r="P79" i="44"/>
  <c r="P97" i="44"/>
  <c r="P24" i="44"/>
  <c r="P49" i="44"/>
  <c r="P87" i="44"/>
  <c r="P102" i="44"/>
  <c r="P60" i="44"/>
  <c r="P55" i="44"/>
  <c r="P16" i="44"/>
  <c r="P44" i="44"/>
  <c r="P89" i="44"/>
  <c r="P34" i="44"/>
  <c r="P39" i="44"/>
  <c r="P81" i="44"/>
  <c r="AL81" i="44"/>
  <c r="AL89" i="44"/>
  <c r="AB23" i="47" l="1"/>
  <c r="AB100" i="44"/>
  <c r="AP100" i="44" s="1"/>
  <c r="AN100" i="44"/>
  <c r="AA100" i="44"/>
  <c r="AB13" i="44"/>
  <c r="AP13" i="44" s="1"/>
  <c r="AN13" i="44"/>
  <c r="AA13" i="44"/>
  <c r="AN33" i="44"/>
  <c r="AA33" i="44"/>
  <c r="AB99" i="44"/>
  <c r="AP99" i="44" s="1"/>
  <c r="AN99" i="44"/>
  <c r="AA99" i="44"/>
  <c r="AB98" i="44"/>
  <c r="AP98" i="44" s="1"/>
  <c r="AN98" i="44"/>
  <c r="AA98" i="44"/>
  <c r="AB92" i="44"/>
  <c r="AP92" i="44" s="1"/>
  <c r="AN92" i="44"/>
  <c r="AA92" i="44"/>
  <c r="AB91" i="44"/>
  <c r="AP91" i="44" s="1"/>
  <c r="AN91" i="44"/>
  <c r="AA91" i="44"/>
  <c r="AB90" i="44"/>
  <c r="AP90" i="44" s="1"/>
  <c r="AN90" i="44"/>
  <c r="AA90" i="44"/>
  <c r="AB43" i="44"/>
  <c r="AP43" i="44" s="1"/>
  <c r="AN43" i="44"/>
  <c r="AA43" i="44"/>
  <c r="AB80" i="44"/>
  <c r="AP80" i="44" s="1"/>
  <c r="AN80" i="44"/>
  <c r="AA80" i="44"/>
  <c r="AN70" i="44"/>
  <c r="AA70" i="44"/>
  <c r="AB69" i="44"/>
  <c r="AP69" i="44" s="1"/>
  <c r="AA69" i="44"/>
  <c r="AN69" i="44"/>
  <c r="AB78" i="44"/>
  <c r="AP78" i="44" s="1"/>
  <c r="AA78" i="44"/>
  <c r="AN78" i="44"/>
  <c r="AN101" i="44"/>
  <c r="AA101" i="44"/>
  <c r="AB101" i="44"/>
  <c r="AP101" i="44" s="1"/>
  <c r="AB96" i="44"/>
  <c r="AP96" i="44" s="1"/>
  <c r="AN96" i="44"/>
  <c r="AA96" i="44"/>
  <c r="AB95" i="44"/>
  <c r="AP95" i="44" s="1"/>
  <c r="AN95" i="44"/>
  <c r="AA95" i="44"/>
  <c r="AB94" i="44"/>
  <c r="AP94" i="44" s="1"/>
  <c r="AN94" i="44"/>
  <c r="AA94" i="44"/>
  <c r="AB86" i="44"/>
  <c r="AP86" i="44" s="1"/>
  <c r="AN86" i="44"/>
  <c r="AA86" i="44"/>
  <c r="AB85" i="44"/>
  <c r="AP85" i="44" s="1"/>
  <c r="AN85" i="44"/>
  <c r="AA85" i="44"/>
  <c r="AC70" i="44"/>
  <c r="AQ70" i="44" s="1"/>
  <c r="AB70" i="44"/>
  <c r="AP70" i="44" s="1"/>
  <c r="AB36" i="44"/>
  <c r="AN36" i="44"/>
  <c r="AB23" i="44"/>
  <c r="AP23" i="44" s="1"/>
  <c r="AN23" i="44"/>
  <c r="AA23" i="44"/>
  <c r="AN88" i="44"/>
  <c r="AA88" i="44"/>
  <c r="AA83" i="44"/>
  <c r="AN83" i="44"/>
  <c r="AN77" i="44"/>
  <c r="AA77" i="44"/>
  <c r="AN75" i="44"/>
  <c r="AA75" i="44"/>
  <c r="AB75" i="44"/>
  <c r="AP75" i="44" s="1"/>
  <c r="AN74" i="44"/>
  <c r="AA74" i="44"/>
  <c r="AB74" i="44"/>
  <c r="AP74" i="44" s="1"/>
  <c r="AN73" i="44"/>
  <c r="AB73" i="44"/>
  <c r="AP73" i="44" s="1"/>
  <c r="AA73" i="44"/>
  <c r="AA72" i="44"/>
  <c r="AN72" i="44"/>
  <c r="AN67" i="44"/>
  <c r="AA67" i="44"/>
  <c r="AB67" i="44"/>
  <c r="AP67" i="44" s="1"/>
  <c r="AB66" i="44"/>
  <c r="AP66" i="44" s="1"/>
  <c r="AN66" i="44"/>
  <c r="AA66" i="44"/>
  <c r="AN64" i="44"/>
  <c r="AA64" i="44"/>
  <c r="AB64" i="44"/>
  <c r="AP64" i="44" s="1"/>
  <c r="AN63" i="44"/>
  <c r="AA63" i="44"/>
  <c r="AB63" i="44"/>
  <c r="AP63" i="44" s="1"/>
  <c r="AA62" i="44"/>
  <c r="AN62" i="44"/>
  <c r="AB62" i="44"/>
  <c r="AP62" i="44" s="1"/>
  <c r="AN61" i="44"/>
  <c r="AA61" i="44"/>
  <c r="AB61" i="44"/>
  <c r="AP61" i="44" s="1"/>
  <c r="AA59" i="44"/>
  <c r="AN59" i="44"/>
  <c r="AA58" i="44"/>
  <c r="AN58" i="44"/>
  <c r="AB58" i="44"/>
  <c r="AP58" i="44" s="1"/>
  <c r="AB57" i="44"/>
  <c r="AP57" i="44" s="1"/>
  <c r="AA57" i="44"/>
  <c r="AN57" i="44"/>
  <c r="AN56" i="44"/>
  <c r="AA56" i="44"/>
  <c r="AB56" i="44"/>
  <c r="AP56" i="44" s="1"/>
  <c r="AA54" i="44"/>
  <c r="AB54" i="44"/>
  <c r="AP54" i="44" s="1"/>
  <c r="AB53" i="44"/>
  <c r="AP53" i="44" s="1"/>
  <c r="AA53" i="44"/>
  <c r="AN53" i="44"/>
  <c r="AA51" i="44"/>
  <c r="AB51" i="44"/>
  <c r="AP51" i="44" s="1"/>
  <c r="AN51" i="44"/>
  <c r="AA50" i="44"/>
  <c r="AB50" i="44"/>
  <c r="AP50" i="44" s="1"/>
  <c r="AN50" i="44"/>
  <c r="AN48" i="44"/>
  <c r="AA48" i="44"/>
  <c r="AB47" i="44"/>
  <c r="AP47" i="44" s="1"/>
  <c r="AN47" i="44"/>
  <c r="AA47" i="44"/>
  <c r="AN46" i="44"/>
  <c r="AA46" i="44"/>
  <c r="AB46" i="44"/>
  <c r="AP46" i="44" s="1"/>
  <c r="AN45" i="44"/>
  <c r="AA45" i="44"/>
  <c r="AB45" i="44"/>
  <c r="AP45" i="44" s="1"/>
  <c r="AA42" i="44"/>
  <c r="AN42" i="44"/>
  <c r="AB42" i="44"/>
  <c r="AP42" i="44" s="1"/>
  <c r="AA41" i="44"/>
  <c r="AN41" i="44"/>
  <c r="AB41" i="44"/>
  <c r="AP41" i="44" s="1"/>
  <c r="AA40" i="44"/>
  <c r="AN40" i="44"/>
  <c r="AB40" i="44"/>
  <c r="AP40" i="44" s="1"/>
  <c r="AN38" i="44"/>
  <c r="AA38" i="44"/>
  <c r="AB37" i="44"/>
  <c r="AP37" i="44" s="1"/>
  <c r="AA37" i="44"/>
  <c r="AN37" i="44"/>
  <c r="AN35" i="44"/>
  <c r="AA35" i="44"/>
  <c r="AB35" i="44"/>
  <c r="AP35" i="44" s="1"/>
  <c r="AB33" i="44"/>
  <c r="AC33" i="44"/>
  <c r="AQ33" i="44" s="1"/>
  <c r="AA32" i="44"/>
  <c r="AN32" i="44"/>
  <c r="AB32" i="44"/>
  <c r="AP32" i="44" s="1"/>
  <c r="AA31" i="44"/>
  <c r="AN31" i="44"/>
  <c r="AB31" i="44"/>
  <c r="AP31" i="44" s="1"/>
  <c r="AN30" i="44"/>
  <c r="AB30" i="44"/>
  <c r="AP30" i="44" s="1"/>
  <c r="AA30" i="44"/>
  <c r="AB28" i="44"/>
  <c r="AP28" i="44" s="1"/>
  <c r="AA28" i="44"/>
  <c r="AN28" i="44"/>
  <c r="AC28" i="44"/>
  <c r="AQ28" i="44" s="1"/>
  <c r="AB27" i="44"/>
  <c r="AP27" i="44" s="1"/>
  <c r="AA27" i="44"/>
  <c r="AN27" i="44"/>
  <c r="AB26" i="44"/>
  <c r="AP26" i="44" s="1"/>
  <c r="AA26" i="44"/>
  <c r="AN26" i="44"/>
  <c r="AN25" i="44"/>
  <c r="AA25" i="44"/>
  <c r="AB25" i="44"/>
  <c r="AP25" i="44" s="1"/>
  <c r="AN22" i="44"/>
  <c r="AA22" i="44"/>
  <c r="AB22" i="44"/>
  <c r="AP22" i="44" s="1"/>
  <c r="AB21" i="44"/>
  <c r="AP21" i="44" s="1"/>
  <c r="AA21" i="44"/>
  <c r="AN21" i="44"/>
  <c r="AB20" i="44"/>
  <c r="AP20" i="44" s="1"/>
  <c r="AN20" i="44"/>
  <c r="AA20" i="44"/>
  <c r="AB18" i="44"/>
  <c r="AP18" i="44" s="1"/>
  <c r="AA18" i="44"/>
  <c r="AN18" i="44"/>
  <c r="AA17" i="44"/>
  <c r="AN17" i="44"/>
  <c r="AB17" i="44"/>
  <c r="AP17" i="44" s="1"/>
  <c r="AN15" i="44"/>
  <c r="AA15" i="44"/>
  <c r="AB15" i="44"/>
  <c r="AP15" i="44" s="1"/>
  <c r="AA14" i="44"/>
  <c r="AN14" i="44"/>
  <c r="AB14" i="44"/>
  <c r="AP14" i="44" s="1"/>
  <c r="W23" i="47"/>
  <c r="P103" i="44"/>
  <c r="I14" i="47" s="1"/>
  <c r="V76" i="44"/>
  <c r="V89" i="44"/>
  <c r="AC46" i="44"/>
  <c r="AQ46" i="44" s="1"/>
  <c r="AC23" i="44"/>
  <c r="AQ23" i="44" s="1"/>
  <c r="AC38" i="44"/>
  <c r="AQ38" i="44" s="1"/>
  <c r="AC13" i="44"/>
  <c r="AQ13" i="44" s="1"/>
  <c r="V55" i="44"/>
  <c r="AC69" i="44"/>
  <c r="AQ69" i="44" s="1"/>
  <c r="V49" i="44"/>
  <c r="V68" i="44"/>
  <c r="V102" i="44"/>
  <c r="AL16" i="44"/>
  <c r="AC67" i="44"/>
  <c r="AQ67" i="44" s="1"/>
  <c r="V81" i="44"/>
  <c r="AL65" i="44"/>
  <c r="V97" i="44"/>
  <c r="AL29" i="44"/>
  <c r="V87" i="44"/>
  <c r="V60" i="44"/>
  <c r="AL68" i="44"/>
  <c r="V39" i="44"/>
  <c r="V16" i="44"/>
  <c r="AC18" i="44"/>
  <c r="AQ18" i="44" s="1"/>
  <c r="AL49" i="44"/>
  <c r="AL39" i="44"/>
  <c r="AL79" i="44"/>
  <c r="AL44" i="44"/>
  <c r="AL102" i="44"/>
  <c r="AL60" i="44"/>
  <c r="V24" i="44"/>
  <c r="AC61" i="44"/>
  <c r="AQ61" i="44" s="1"/>
  <c r="V65" i="44"/>
  <c r="V44" i="44"/>
  <c r="AL76" i="44"/>
  <c r="AL24" i="44"/>
  <c r="V29" i="44"/>
  <c r="V34" i="44"/>
  <c r="AL34" i="44"/>
  <c r="AL87" i="44"/>
  <c r="AL55" i="44"/>
  <c r="AL71" i="44"/>
  <c r="AL97" i="44"/>
  <c r="AC54" i="44"/>
  <c r="AQ54" i="44" s="1"/>
  <c r="AC47" i="44"/>
  <c r="AQ47" i="44" s="1"/>
  <c r="AC40" i="44"/>
  <c r="AQ40" i="44" s="1"/>
  <c r="AC75" i="44"/>
  <c r="AQ75" i="44" s="1"/>
  <c r="AC42" i="44"/>
  <c r="AQ42" i="44" s="1"/>
  <c r="AC53" i="44"/>
  <c r="AQ53" i="44" s="1"/>
  <c r="AC64" i="44"/>
  <c r="AQ64" i="44" s="1"/>
  <c r="AC22" i="44"/>
  <c r="AQ22" i="44" s="1"/>
  <c r="AC37" i="44"/>
  <c r="AQ37" i="44" s="1"/>
  <c r="AC101" i="44"/>
  <c r="AQ101" i="44" s="1"/>
  <c r="AC96" i="44"/>
  <c r="AQ96" i="44" s="1"/>
  <c r="AC91" i="44"/>
  <c r="AQ91" i="44" s="1"/>
  <c r="AC20" i="44"/>
  <c r="AQ20" i="44" s="1"/>
  <c r="AC17" i="44"/>
  <c r="AQ17" i="44" s="1"/>
  <c r="AC26" i="44"/>
  <c r="AQ26" i="44" s="1"/>
  <c r="AC25" i="44"/>
  <c r="AQ25" i="44" s="1"/>
  <c r="AC31" i="44"/>
  <c r="AQ31" i="44" s="1"/>
  <c r="AC35" i="44"/>
  <c r="AQ35" i="44" s="1"/>
  <c r="AC94" i="44"/>
  <c r="AQ94" i="44" s="1"/>
  <c r="AC99" i="44"/>
  <c r="AQ99" i="44" s="1"/>
  <c r="AC86" i="44"/>
  <c r="AQ86" i="44" s="1"/>
  <c r="AC92" i="44"/>
  <c r="AQ92" i="44" s="1"/>
  <c r="AC48" i="44"/>
  <c r="AQ48" i="44" s="1"/>
  <c r="AC82" i="44"/>
  <c r="AE82" i="44" s="1"/>
  <c r="AC30" i="44"/>
  <c r="AQ30" i="44" s="1"/>
  <c r="AC15" i="44"/>
  <c r="AQ15" i="44" s="1"/>
  <c r="AC27" i="44"/>
  <c r="AQ27" i="44" s="1"/>
  <c r="AC100" i="44"/>
  <c r="AQ100" i="44" s="1"/>
  <c r="AC95" i="44"/>
  <c r="AQ95" i="44" s="1"/>
  <c r="AC90" i="44"/>
  <c r="AQ90" i="44" s="1"/>
  <c r="AC85" i="44"/>
  <c r="AQ85" i="44" s="1"/>
  <c r="AC78" i="44"/>
  <c r="AQ78" i="44" s="1"/>
  <c r="AC63" i="44"/>
  <c r="AQ63" i="44" s="1"/>
  <c r="AC14" i="44"/>
  <c r="AQ14" i="44" s="1"/>
  <c r="AC57" i="44"/>
  <c r="AQ57" i="44" s="1"/>
  <c r="AC62" i="44"/>
  <c r="AQ62" i="44" s="1"/>
  <c r="AC73" i="44"/>
  <c r="AQ73" i="44" s="1"/>
  <c r="AC59" i="44"/>
  <c r="AQ59" i="44" s="1"/>
  <c r="AC43" i="44"/>
  <c r="AQ43" i="44" s="1"/>
  <c r="AC41" i="44"/>
  <c r="AQ41" i="44" s="1"/>
  <c r="AC51" i="44"/>
  <c r="AQ51" i="44" s="1"/>
  <c r="AC21" i="44"/>
  <c r="AQ21" i="44" s="1"/>
  <c r="AC36" i="44"/>
  <c r="AQ36" i="44" s="1"/>
  <c r="AC83" i="44"/>
  <c r="AQ83" i="44" s="1"/>
  <c r="AC58" i="44"/>
  <c r="AQ58" i="44" s="1"/>
  <c r="AC56" i="44"/>
  <c r="AQ56" i="44" s="1"/>
  <c r="AC32" i="44"/>
  <c r="AQ32" i="44" s="1"/>
  <c r="AE20" i="44" l="1"/>
  <c r="AM20" i="44" s="1"/>
  <c r="AE61" i="44"/>
  <c r="AM61" i="44" s="1"/>
  <c r="AE83" i="44"/>
  <c r="AM83" i="44" s="1"/>
  <c r="AE95" i="44"/>
  <c r="AM95" i="44" s="1"/>
  <c r="AE26" i="44"/>
  <c r="AM26" i="44" s="1"/>
  <c r="AE86" i="44"/>
  <c r="AM86" i="44" s="1"/>
  <c r="AE23" i="44"/>
  <c r="AM23" i="44" s="1"/>
  <c r="AE91" i="44"/>
  <c r="AM91" i="44" s="1"/>
  <c r="AE33" i="44"/>
  <c r="AM33" i="44" s="1"/>
  <c r="AE48" i="44"/>
  <c r="AM48" i="44" s="1"/>
  <c r="AE85" i="44"/>
  <c r="AM85" i="44" s="1"/>
  <c r="AE94" i="44"/>
  <c r="AM94" i="44" s="1"/>
  <c r="AE96" i="44"/>
  <c r="AM96" i="44" s="1"/>
  <c r="AE100" i="44"/>
  <c r="AM100" i="44" s="1"/>
  <c r="AE13" i="44"/>
  <c r="AM13" i="44" s="1"/>
  <c r="AE99" i="44"/>
  <c r="AM99" i="44" s="1"/>
  <c r="AE92" i="44"/>
  <c r="AM92" i="44" s="1"/>
  <c r="AE90" i="44"/>
  <c r="AE43" i="44"/>
  <c r="AM43" i="44" s="1"/>
  <c r="AE70" i="44"/>
  <c r="AM70" i="44" s="1"/>
  <c r="AE69" i="44"/>
  <c r="AE78" i="44"/>
  <c r="AE101" i="44"/>
  <c r="AM101" i="44" s="1"/>
  <c r="AE36" i="44"/>
  <c r="AM36" i="44" s="1"/>
  <c r="AE75" i="44"/>
  <c r="AM75" i="44" s="1"/>
  <c r="AE74" i="44"/>
  <c r="AM74" i="44" s="1"/>
  <c r="AE73" i="44"/>
  <c r="AM73" i="44" s="1"/>
  <c r="AE67" i="44"/>
  <c r="AM67" i="44" s="1"/>
  <c r="AE63" i="44"/>
  <c r="AM63" i="44" s="1"/>
  <c r="AE59" i="44"/>
  <c r="AM59" i="44" s="1"/>
  <c r="AE58" i="44"/>
  <c r="AM58" i="44" s="1"/>
  <c r="AE57" i="44"/>
  <c r="AM57" i="44" s="1"/>
  <c r="AE56" i="44"/>
  <c r="AE54" i="44"/>
  <c r="AM54" i="44" s="1"/>
  <c r="AE53" i="44"/>
  <c r="AM53" i="44" s="1"/>
  <c r="AE51" i="44"/>
  <c r="AM51" i="44" s="1"/>
  <c r="AE47" i="44"/>
  <c r="AM47" i="44" s="1"/>
  <c r="AE46" i="44"/>
  <c r="AM46" i="44" s="1"/>
  <c r="AE42" i="44"/>
  <c r="AM42" i="44" s="1"/>
  <c r="AE41" i="44"/>
  <c r="AM41" i="44" s="1"/>
  <c r="AE40" i="44"/>
  <c r="AE38" i="44"/>
  <c r="AM38" i="44" s="1"/>
  <c r="AE37" i="44"/>
  <c r="AM37" i="44" s="1"/>
  <c r="AE35" i="44"/>
  <c r="AE32" i="44"/>
  <c r="AM32" i="44" s="1"/>
  <c r="AE31" i="44"/>
  <c r="AM31" i="44" s="1"/>
  <c r="AE30" i="44"/>
  <c r="AE28" i="44"/>
  <c r="AM28" i="44" s="1"/>
  <c r="AE27" i="44"/>
  <c r="AM27" i="44" s="1"/>
  <c r="AE22" i="44"/>
  <c r="AM22" i="44" s="1"/>
  <c r="AE21" i="44"/>
  <c r="AM21" i="44" s="1"/>
  <c r="AE18" i="44"/>
  <c r="AM18" i="44" s="1"/>
  <c r="AE17" i="44"/>
  <c r="AM17" i="44" s="1"/>
  <c r="AE15" i="44"/>
  <c r="AM15" i="44" s="1"/>
  <c r="AE14" i="44"/>
  <c r="AM14" i="44" s="1"/>
  <c r="AE64" i="44"/>
  <c r="AM64" i="44" s="1"/>
  <c r="AE62" i="44"/>
  <c r="AA29" i="44"/>
  <c r="AE25" i="44"/>
  <c r="AM25" i="44" s="1"/>
  <c r="AA71" i="44"/>
  <c r="AP36" i="44"/>
  <c r="AA68" i="44"/>
  <c r="AA65" i="44"/>
  <c r="AA55" i="44"/>
  <c r="AA49" i="44"/>
  <c r="AA39" i="44"/>
  <c r="AQ82" i="44"/>
  <c r="AM82" i="44"/>
  <c r="AA76" i="44"/>
  <c r="AA24" i="44"/>
  <c r="AA89" i="44"/>
  <c r="AA115" i="44"/>
  <c r="T35" i="47" s="1"/>
  <c r="AA60" i="44"/>
  <c r="AA110" i="44"/>
  <c r="T30" i="47" s="1"/>
  <c r="AA102" i="44"/>
  <c r="AA97" i="44"/>
  <c r="AA44" i="44"/>
  <c r="AA87" i="44"/>
  <c r="AA109" i="44"/>
  <c r="T29" i="47" s="1"/>
  <c r="AA16" i="44"/>
  <c r="AA114" i="44"/>
  <c r="T34" i="47" s="1"/>
  <c r="AA34" i="44"/>
  <c r="AA81" i="44"/>
  <c r="AA116" i="44"/>
  <c r="T36" i="47" s="1"/>
  <c r="AP33" i="44"/>
  <c r="AA108" i="44"/>
  <c r="T28" i="47" s="1"/>
  <c r="AA79" i="44"/>
  <c r="AA107" i="44"/>
  <c r="T27" i="47" s="1"/>
  <c r="V104" i="44"/>
  <c r="AL103" i="44"/>
  <c r="AE14" i="47" s="1"/>
  <c r="AC88" i="44"/>
  <c r="AE88" i="44" s="1"/>
  <c r="AE89" i="44" s="1"/>
  <c r="AC50" i="44"/>
  <c r="AE50" i="44" s="1"/>
  <c r="AC72" i="44"/>
  <c r="AE72" i="44" s="1"/>
  <c r="AC98" i="44"/>
  <c r="AE98" i="44" s="1"/>
  <c r="AB89" i="44"/>
  <c r="V71" i="44"/>
  <c r="AB55" i="44"/>
  <c r="AB81" i="44"/>
  <c r="AC45" i="44"/>
  <c r="AE45" i="44" s="1"/>
  <c r="AB49" i="44"/>
  <c r="Z76" i="44"/>
  <c r="AC66" i="44"/>
  <c r="AE66" i="44" s="1"/>
  <c r="Z68" i="44"/>
  <c r="AB68" i="44"/>
  <c r="AB102" i="44"/>
  <c r="Z29" i="44"/>
  <c r="Z16" i="44"/>
  <c r="AC80" i="44"/>
  <c r="AE80" i="44" s="1"/>
  <c r="AE81" i="44" s="1"/>
  <c r="AC39" i="44"/>
  <c r="AB24" i="44"/>
  <c r="Z24" i="44"/>
  <c r="Z71" i="44"/>
  <c r="AC71" i="44"/>
  <c r="AC87" i="44"/>
  <c r="V79" i="44"/>
  <c r="AC77" i="44"/>
  <c r="AE77" i="44" s="1"/>
  <c r="AC65" i="44"/>
  <c r="Z60" i="44"/>
  <c r="Z102" i="44"/>
  <c r="AB87" i="44"/>
  <c r="Z97" i="44"/>
  <c r="Z55" i="44"/>
  <c r="AC34" i="44"/>
  <c r="AC16" i="44"/>
  <c r="AC29" i="44"/>
  <c r="AB65" i="44"/>
  <c r="Z49" i="44"/>
  <c r="AC60" i="44"/>
  <c r="AB34" i="44"/>
  <c r="AB16" i="44"/>
  <c r="AB29" i="44"/>
  <c r="AC44" i="44"/>
  <c r="Z79" i="44"/>
  <c r="Z87" i="44"/>
  <c r="AB97" i="44"/>
  <c r="AB60" i="44"/>
  <c r="AC97" i="44"/>
  <c r="AB39" i="44"/>
  <c r="AC24" i="44"/>
  <c r="AB44" i="44"/>
  <c r="Z89" i="44"/>
  <c r="Z65" i="44"/>
  <c r="Z44" i="44"/>
  <c r="Z34" i="44"/>
  <c r="Z81" i="44"/>
  <c r="AM78" i="44" l="1"/>
  <c r="AE68" i="44"/>
  <c r="AE79" i="44"/>
  <c r="AE87" i="44"/>
  <c r="AE102" i="44"/>
  <c r="AE49" i="44"/>
  <c r="AE97" i="44"/>
  <c r="AM90" i="44"/>
  <c r="AE55" i="44"/>
  <c r="AE76" i="44"/>
  <c r="AE29" i="44"/>
  <c r="AE24" i="44"/>
  <c r="AE16" i="44"/>
  <c r="AE71" i="44"/>
  <c r="AM69" i="44"/>
  <c r="AE60" i="44"/>
  <c r="AM56" i="44"/>
  <c r="AE44" i="44"/>
  <c r="AM40" i="44"/>
  <c r="AE39" i="44"/>
  <c r="AM35" i="44"/>
  <c r="AE34" i="44"/>
  <c r="AM30" i="44"/>
  <c r="AE65" i="44"/>
  <c r="AM62" i="44"/>
  <c r="AA103" i="44"/>
  <c r="T14" i="47" s="1"/>
  <c r="AQ88" i="44"/>
  <c r="AM88" i="44"/>
  <c r="AQ50" i="44"/>
  <c r="AM50" i="44"/>
  <c r="AQ72" i="44"/>
  <c r="AM72" i="44"/>
  <c r="AQ98" i="44"/>
  <c r="AM98" i="44"/>
  <c r="AQ45" i="44"/>
  <c r="AQ66" i="44"/>
  <c r="AQ80" i="44"/>
  <c r="AQ77" i="44"/>
  <c r="AM77" i="44"/>
  <c r="AA106" i="44"/>
  <c r="V103" i="44"/>
  <c r="O14" i="47" s="1"/>
  <c r="AC68" i="44"/>
  <c r="AM66" i="44"/>
  <c r="AC102" i="44"/>
  <c r="AC76" i="44"/>
  <c r="AC79" i="44"/>
  <c r="AC81" i="44"/>
  <c r="AM80" i="44"/>
  <c r="AC55" i="44"/>
  <c r="AM45" i="44"/>
  <c r="AC89" i="44"/>
  <c r="AB76" i="44"/>
  <c r="AB71" i="44"/>
  <c r="AC49" i="44"/>
  <c r="Z39" i="44"/>
  <c r="Z103" i="44" s="1"/>
  <c r="S14" i="47" s="1"/>
  <c r="AB79" i="44"/>
  <c r="AB103" i="44" l="1"/>
  <c r="U14" i="47" s="1"/>
  <c r="AC103" i="44"/>
  <c r="V14" i="47" s="1"/>
  <c r="AJ116" i="44"/>
  <c r="AC36" i="47" s="1"/>
  <c r="AJ115" i="44"/>
  <c r="AC35" i="47" s="1"/>
  <c r="AJ114" i="44"/>
  <c r="AC34" i="47" s="1"/>
  <c r="AJ113" i="44"/>
  <c r="AC33" i="47" s="1"/>
  <c r="AJ112" i="44"/>
  <c r="AC32" i="47" s="1"/>
  <c r="AJ111" i="44"/>
  <c r="AC31" i="47" s="1"/>
  <c r="AJ110" i="44"/>
  <c r="AC30" i="47" s="1"/>
  <c r="AJ109" i="44"/>
  <c r="AC29" i="47" s="1"/>
  <c r="AJ108" i="44"/>
  <c r="AC28" i="47" s="1"/>
  <c r="AJ107" i="44"/>
  <c r="AC27" i="47" s="1"/>
  <c r="T116" i="44"/>
  <c r="M36" i="47" s="1"/>
  <c r="T115" i="44"/>
  <c r="M35" i="47" s="1"/>
  <c r="T114" i="44"/>
  <c r="M34" i="47" s="1"/>
  <c r="T113" i="44"/>
  <c r="M33" i="47" s="1"/>
  <c r="T112" i="44"/>
  <c r="M32" i="47" s="1"/>
  <c r="T111" i="44"/>
  <c r="M31" i="47" s="1"/>
  <c r="T110" i="44"/>
  <c r="M30" i="47" s="1"/>
  <c r="T109" i="44"/>
  <c r="M29" i="47" s="1"/>
  <c r="T108" i="44"/>
  <c r="M28" i="47" s="1"/>
  <c r="T107" i="44"/>
  <c r="M27" i="47" s="1"/>
  <c r="AE104" i="44" l="1"/>
  <c r="AE103" i="44"/>
  <c r="X14" i="47" s="1"/>
  <c r="T106" i="44"/>
  <c r="AJ106" i="44"/>
  <c r="M23" i="47" l="1"/>
  <c r="AC23" i="47"/>
  <c r="M26" i="47"/>
  <c r="AO29" i="44" l="1"/>
  <c r="AO24" i="44"/>
  <c r="AO89" i="44"/>
  <c r="AS68" i="44"/>
  <c r="AO68" i="44"/>
  <c r="AS81" i="44"/>
  <c r="AN71" i="44"/>
  <c r="AS16" i="44"/>
  <c r="AO34" i="44"/>
  <c r="AO97" i="44"/>
  <c r="AO81" i="44"/>
  <c r="AS39" i="44"/>
  <c r="AS29" i="44"/>
  <c r="AO102" i="44"/>
  <c r="AO16" i="44"/>
  <c r="AS65" i="44"/>
  <c r="AS55" i="44"/>
  <c r="AO87" i="44"/>
  <c r="AO76" i="44"/>
  <c r="AS102" i="44"/>
  <c r="AS79" i="44"/>
  <c r="AS87" i="44"/>
  <c r="AO55" i="44"/>
  <c r="AO65" i="44"/>
  <c r="AO79" i="44"/>
  <c r="AS60" i="44"/>
  <c r="AS71" i="44"/>
  <c r="AP71" i="44"/>
  <c r="AS97" i="44"/>
  <c r="AO71" i="44"/>
  <c r="AS24" i="44"/>
  <c r="AO49" i="44"/>
  <c r="AS49" i="44"/>
  <c r="AS89" i="44"/>
  <c r="AS76" i="44"/>
  <c r="AO39" i="44"/>
  <c r="AS34" i="44"/>
  <c r="AO44" i="44"/>
  <c r="AS44" i="44"/>
  <c r="AO60" i="44"/>
  <c r="AN81" i="44"/>
  <c r="AS103" i="44" l="1"/>
  <c r="AL14" i="47" s="1"/>
  <c r="AO103" i="44"/>
  <c r="AH14" i="47" s="1"/>
  <c r="AN44" i="44"/>
  <c r="AQ44" i="44"/>
  <c r="AN68" i="44"/>
  <c r="AP68" i="44"/>
  <c r="AN79" i="44"/>
  <c r="AN87" i="44"/>
  <c r="AN24" i="44"/>
  <c r="AN102" i="44"/>
  <c r="AQ81" i="44"/>
  <c r="AQ16" i="44"/>
  <c r="AP97" i="44"/>
  <c r="AP29" i="44"/>
  <c r="AQ79" i="44"/>
  <c r="AP102" i="44"/>
  <c r="AP16" i="44"/>
  <c r="AP24" i="44"/>
  <c r="AP60" i="44"/>
  <c r="AQ97" i="44"/>
  <c r="AQ29" i="44"/>
  <c r="AP87" i="44"/>
  <c r="AQ71" i="44"/>
  <c r="AN39" i="44"/>
  <c r="AQ102" i="44"/>
  <c r="AP34" i="44"/>
  <c r="AQ24" i="44"/>
  <c r="AQ60" i="44"/>
  <c r="AN29" i="44"/>
  <c r="AQ68" i="44"/>
  <c r="AN55" i="44"/>
  <c r="AQ34" i="44"/>
  <c r="AP44" i="44"/>
  <c r="AN60" i="44"/>
  <c r="AP76" i="44"/>
  <c r="AQ65" i="44"/>
  <c r="AN89" i="44"/>
  <c r="AQ49" i="44"/>
  <c r="AQ55" i="44"/>
  <c r="AN49" i="44"/>
  <c r="AP55" i="44"/>
  <c r="AP81" i="44"/>
  <c r="AN34" i="44"/>
  <c r="AN76" i="44"/>
  <c r="AN65" i="44"/>
  <c r="AP49" i="44"/>
  <c r="AN16" i="44"/>
  <c r="AQ76" i="44"/>
  <c r="AN97" i="44"/>
  <c r="AP65" i="44"/>
  <c r="AP79" i="44"/>
  <c r="AQ87" i="44"/>
  <c r="AN103" i="44" l="1"/>
  <c r="AG14" i="47" s="1"/>
  <c r="AM44" i="44"/>
  <c r="AM81" i="44"/>
  <c r="AM97" i="44"/>
  <c r="AM34" i="44"/>
  <c r="AM87" i="44"/>
  <c r="AM71" i="44"/>
  <c r="AP89" i="44"/>
  <c r="AM68" i="44"/>
  <c r="AM60" i="44"/>
  <c r="AM79" i="44"/>
  <c r="AQ89" i="44"/>
  <c r="AQ39" i="44"/>
  <c r="AM102" i="44"/>
  <c r="AM16" i="44"/>
  <c r="AP39" i="44"/>
  <c r="AM65" i="44"/>
  <c r="AM29" i="44"/>
  <c r="AM24" i="44"/>
  <c r="AM76" i="44"/>
  <c r="AM49" i="44"/>
  <c r="AM55" i="44"/>
  <c r="AP103" i="44" l="1"/>
  <c r="AI14" i="47" s="1"/>
  <c r="AQ103" i="44"/>
  <c r="AJ14" i="47" s="1"/>
  <c r="AM39" i="44"/>
  <c r="AM89" i="44"/>
  <c r="AM103" i="44" l="1"/>
  <c r="AF14" i="47" s="1"/>
  <c r="AM104" i="44"/>
  <c r="L107" i="44"/>
  <c r="E27" i="47" s="1"/>
  <c r="M107" i="44"/>
  <c r="F27" i="47" s="1"/>
  <c r="R107" i="44"/>
  <c r="K27" i="47" s="1"/>
  <c r="S107" i="44"/>
  <c r="L27" i="47" s="1"/>
  <c r="U107" i="44"/>
  <c r="N27" i="47" s="1"/>
  <c r="W107" i="44"/>
  <c r="P27" i="47" s="1"/>
  <c r="X107" i="44"/>
  <c r="Q27" i="47" s="1"/>
  <c r="Y107" i="44"/>
  <c r="R27" i="47" s="1"/>
  <c r="AF107" i="44"/>
  <c r="Y27" i="47" s="1"/>
  <c r="AG107" i="44"/>
  <c r="Z27" i="47" s="1"/>
  <c r="AH107" i="44"/>
  <c r="AA27" i="47" s="1"/>
  <c r="AI107" i="44"/>
  <c r="AB27" i="47" s="1"/>
  <c r="AK107" i="44"/>
  <c r="AD27" i="47" s="1"/>
  <c r="L108" i="44"/>
  <c r="E28" i="47" s="1"/>
  <c r="M108" i="44"/>
  <c r="F28" i="47" s="1"/>
  <c r="R108" i="44"/>
  <c r="K28" i="47" s="1"/>
  <c r="S108" i="44"/>
  <c r="L28" i="47" s="1"/>
  <c r="U108" i="44"/>
  <c r="N28" i="47" s="1"/>
  <c r="W108" i="44"/>
  <c r="P28" i="47" s="1"/>
  <c r="X108" i="44"/>
  <c r="Q28" i="47" s="1"/>
  <c r="Y108" i="44"/>
  <c r="R28" i="47" s="1"/>
  <c r="AF108" i="44"/>
  <c r="Y28" i="47" s="1"/>
  <c r="AG108" i="44"/>
  <c r="Z28" i="47" s="1"/>
  <c r="AH108" i="44"/>
  <c r="AA28" i="47" s="1"/>
  <c r="AI108" i="44"/>
  <c r="AB28" i="47" s="1"/>
  <c r="AK108" i="44"/>
  <c r="AD28" i="47" s="1"/>
  <c r="L109" i="44"/>
  <c r="E29" i="47" s="1"/>
  <c r="M109" i="44"/>
  <c r="F29" i="47" s="1"/>
  <c r="R109" i="44"/>
  <c r="K29" i="47" s="1"/>
  <c r="S109" i="44"/>
  <c r="L29" i="47" s="1"/>
  <c r="U109" i="44"/>
  <c r="N29" i="47" s="1"/>
  <c r="W109" i="44"/>
  <c r="P29" i="47" s="1"/>
  <c r="X109" i="44"/>
  <c r="Q29" i="47" s="1"/>
  <c r="Y109" i="44"/>
  <c r="R29" i="47" s="1"/>
  <c r="AF109" i="44"/>
  <c r="Y29" i="47" s="1"/>
  <c r="AG109" i="44"/>
  <c r="Z29" i="47" s="1"/>
  <c r="AH109" i="44"/>
  <c r="AA29" i="47" s="1"/>
  <c r="AI109" i="44"/>
  <c r="AB29" i="47" s="1"/>
  <c r="AK109" i="44"/>
  <c r="AD29" i="47" s="1"/>
  <c r="L110" i="44"/>
  <c r="E30" i="47" s="1"/>
  <c r="M110" i="44"/>
  <c r="F30" i="47" s="1"/>
  <c r="R110" i="44"/>
  <c r="K30" i="47" s="1"/>
  <c r="S110" i="44"/>
  <c r="L30" i="47" s="1"/>
  <c r="U110" i="44"/>
  <c r="N30" i="47" s="1"/>
  <c r="W110" i="44"/>
  <c r="P30" i="47" s="1"/>
  <c r="X110" i="44"/>
  <c r="Q30" i="47" s="1"/>
  <c r="Y110" i="44"/>
  <c r="R30" i="47" s="1"/>
  <c r="AF110" i="44"/>
  <c r="Y30" i="47" s="1"/>
  <c r="AG110" i="44"/>
  <c r="Z30" i="47" s="1"/>
  <c r="AH110" i="44"/>
  <c r="AA30" i="47" s="1"/>
  <c r="AI110" i="44"/>
  <c r="AB30" i="47" s="1"/>
  <c r="AK110" i="44"/>
  <c r="AD30" i="47" s="1"/>
  <c r="J111" i="44"/>
  <c r="C31" i="47" s="1"/>
  <c r="L111" i="44"/>
  <c r="E31" i="47" s="1"/>
  <c r="M111" i="44"/>
  <c r="F31" i="47" s="1"/>
  <c r="O111" i="44"/>
  <c r="H31" i="47" s="1"/>
  <c r="P111" i="44"/>
  <c r="I31" i="47" s="1"/>
  <c r="R111" i="44"/>
  <c r="K31" i="47" s="1"/>
  <c r="S111" i="44"/>
  <c r="L31" i="47" s="1"/>
  <c r="U111" i="44"/>
  <c r="N31" i="47" s="1"/>
  <c r="V111" i="44"/>
  <c r="O31" i="47" s="1"/>
  <c r="W111" i="44"/>
  <c r="P31" i="47" s="1"/>
  <c r="X111" i="44"/>
  <c r="Q31" i="47" s="1"/>
  <c r="Y111" i="44"/>
  <c r="R31" i="47" s="1"/>
  <c r="Z111" i="44"/>
  <c r="S31" i="47" s="1"/>
  <c r="AB111" i="44"/>
  <c r="U31" i="47" s="1"/>
  <c r="AC111" i="44"/>
  <c r="V31" i="47" s="1"/>
  <c r="AE111" i="44"/>
  <c r="X31" i="47" s="1"/>
  <c r="AF111" i="44"/>
  <c r="Y31" i="47" s="1"/>
  <c r="AG111" i="44"/>
  <c r="Z31" i="47" s="1"/>
  <c r="AH111" i="44"/>
  <c r="AA31" i="47" s="1"/>
  <c r="AI111" i="44"/>
  <c r="AB31" i="47" s="1"/>
  <c r="AK111" i="44"/>
  <c r="AD31" i="47" s="1"/>
  <c r="AL111" i="44"/>
  <c r="AE31" i="47" s="1"/>
  <c r="AM111" i="44"/>
  <c r="AF31" i="47" s="1"/>
  <c r="AN111" i="44"/>
  <c r="AG31" i="47" s="1"/>
  <c r="AO111" i="44"/>
  <c r="AH31" i="47" s="1"/>
  <c r="AP111" i="44"/>
  <c r="AI31" i="47" s="1"/>
  <c r="AQ111" i="44"/>
  <c r="AJ31" i="47" s="1"/>
  <c r="AS111" i="44"/>
  <c r="AL31" i="47" s="1"/>
  <c r="J112" i="44"/>
  <c r="C32" i="47" s="1"/>
  <c r="L112" i="44"/>
  <c r="E32" i="47" s="1"/>
  <c r="M112" i="44"/>
  <c r="F32" i="47" s="1"/>
  <c r="O112" i="44"/>
  <c r="H32" i="47" s="1"/>
  <c r="P112" i="44"/>
  <c r="I32" i="47" s="1"/>
  <c r="R112" i="44"/>
  <c r="K32" i="47" s="1"/>
  <c r="S112" i="44"/>
  <c r="L32" i="47" s="1"/>
  <c r="U112" i="44"/>
  <c r="N32" i="47" s="1"/>
  <c r="V112" i="44"/>
  <c r="O32" i="47" s="1"/>
  <c r="W112" i="44"/>
  <c r="P32" i="47" s="1"/>
  <c r="X112" i="44"/>
  <c r="Q32" i="47" s="1"/>
  <c r="Y112" i="44"/>
  <c r="R32" i="47" s="1"/>
  <c r="Z112" i="44"/>
  <c r="S32" i="47" s="1"/>
  <c r="AB112" i="44"/>
  <c r="U32" i="47" s="1"/>
  <c r="AC112" i="44"/>
  <c r="V32" i="47" s="1"/>
  <c r="AE112" i="44"/>
  <c r="X32" i="47" s="1"/>
  <c r="AF112" i="44"/>
  <c r="Y32" i="47" s="1"/>
  <c r="AG112" i="44"/>
  <c r="Z32" i="47" s="1"/>
  <c r="AH112" i="44"/>
  <c r="AA32" i="47" s="1"/>
  <c r="AI112" i="44"/>
  <c r="AB32" i="47" s="1"/>
  <c r="AK112" i="44"/>
  <c r="AD32" i="47" s="1"/>
  <c r="AL112" i="44"/>
  <c r="AE32" i="47" s="1"/>
  <c r="AM112" i="44"/>
  <c r="AF32" i="47" s="1"/>
  <c r="AN112" i="44"/>
  <c r="AG32" i="47" s="1"/>
  <c r="AO112" i="44"/>
  <c r="AH32" i="47" s="1"/>
  <c r="AP112" i="44"/>
  <c r="AI32" i="47" s="1"/>
  <c r="AQ112" i="44"/>
  <c r="AJ32" i="47" s="1"/>
  <c r="AS112" i="44"/>
  <c r="AL32" i="47" s="1"/>
  <c r="R113" i="44"/>
  <c r="K33" i="47" s="1"/>
  <c r="S113" i="44"/>
  <c r="L33" i="47" s="1"/>
  <c r="U113" i="44"/>
  <c r="N33" i="47" s="1"/>
  <c r="W113" i="44"/>
  <c r="P33" i="47" s="1"/>
  <c r="X113" i="44"/>
  <c r="Q33" i="47" s="1"/>
  <c r="Y113" i="44"/>
  <c r="R33" i="47" s="1"/>
  <c r="AF113" i="44"/>
  <c r="Y33" i="47" s="1"/>
  <c r="AG113" i="44"/>
  <c r="Z33" i="47" s="1"/>
  <c r="AH113" i="44"/>
  <c r="AA33" i="47" s="1"/>
  <c r="AI113" i="44"/>
  <c r="AB33" i="47" s="1"/>
  <c r="AK113" i="44"/>
  <c r="AD33" i="47" s="1"/>
  <c r="L114" i="44"/>
  <c r="E34" i="47" s="1"/>
  <c r="M114" i="44"/>
  <c r="F34" i="47" s="1"/>
  <c r="R114" i="44"/>
  <c r="K34" i="47" s="1"/>
  <c r="S114" i="44"/>
  <c r="L34" i="47" s="1"/>
  <c r="U114" i="44"/>
  <c r="N34" i="47" s="1"/>
  <c r="W114" i="44"/>
  <c r="P34" i="47" s="1"/>
  <c r="X114" i="44"/>
  <c r="Q34" i="47" s="1"/>
  <c r="Y114" i="44"/>
  <c r="R34" i="47" s="1"/>
  <c r="AF114" i="44"/>
  <c r="Y34" i="47" s="1"/>
  <c r="AG114" i="44"/>
  <c r="Z34" i="47" s="1"/>
  <c r="AH114" i="44"/>
  <c r="AA34" i="47" s="1"/>
  <c r="AI114" i="44"/>
  <c r="AB34" i="47" s="1"/>
  <c r="AK114" i="44"/>
  <c r="AD34" i="47" s="1"/>
  <c r="L115" i="44"/>
  <c r="E35" i="47" s="1"/>
  <c r="M115" i="44"/>
  <c r="F35" i="47" s="1"/>
  <c r="R115" i="44"/>
  <c r="K35" i="47" s="1"/>
  <c r="S115" i="44"/>
  <c r="L35" i="47" s="1"/>
  <c r="U115" i="44"/>
  <c r="N35" i="47" s="1"/>
  <c r="W115" i="44"/>
  <c r="P35" i="47" s="1"/>
  <c r="X115" i="44"/>
  <c r="Q35" i="47" s="1"/>
  <c r="Y115" i="44"/>
  <c r="R35" i="47" s="1"/>
  <c r="AF115" i="44"/>
  <c r="Y35" i="47" s="1"/>
  <c r="AG115" i="44"/>
  <c r="Z35" i="47" s="1"/>
  <c r="AH115" i="44"/>
  <c r="AA35" i="47" s="1"/>
  <c r="AI115" i="44"/>
  <c r="AB35" i="47" s="1"/>
  <c r="AK115" i="44"/>
  <c r="AD35" i="47" s="1"/>
  <c r="L116" i="44"/>
  <c r="E36" i="47" s="1"/>
  <c r="M116" i="44"/>
  <c r="F36" i="47" s="1"/>
  <c r="R116" i="44"/>
  <c r="K36" i="47" s="1"/>
  <c r="S116" i="44"/>
  <c r="L36" i="47" s="1"/>
  <c r="U116" i="44"/>
  <c r="N36" i="47" s="1"/>
  <c r="W116" i="44"/>
  <c r="P36" i="47" s="1"/>
  <c r="X116" i="44"/>
  <c r="Q36" i="47" s="1"/>
  <c r="Y116" i="44"/>
  <c r="R36" i="47" s="1"/>
  <c r="AF116" i="44"/>
  <c r="Y36" i="47" s="1"/>
  <c r="AG116" i="44"/>
  <c r="Z36" i="47" s="1"/>
  <c r="AH116" i="44"/>
  <c r="AA36" i="47" s="1"/>
  <c r="AI116" i="44"/>
  <c r="AB36" i="47" s="1"/>
  <c r="AK116" i="44"/>
  <c r="AD36" i="47" s="1"/>
  <c r="AC26" i="47" l="1"/>
  <c r="J116" i="44"/>
  <c r="C36" i="47" s="1"/>
  <c r="O116" i="44"/>
  <c r="H36" i="47" s="1"/>
  <c r="J110" i="44"/>
  <c r="C30" i="47" s="1"/>
  <c r="J108" i="44"/>
  <c r="C28" i="47" s="1"/>
  <c r="J115" i="44"/>
  <c r="C35" i="47" s="1"/>
  <c r="J107" i="44"/>
  <c r="C27" i="47" s="1"/>
  <c r="O115" i="44"/>
  <c r="H35" i="47" s="1"/>
  <c r="O108" i="44"/>
  <c r="H28" i="47" s="1"/>
  <c r="O114" i="44"/>
  <c r="H34" i="47" s="1"/>
  <c r="J114" i="44"/>
  <c r="C34" i="47" s="1"/>
  <c r="J113" i="44"/>
  <c r="C33" i="47" s="1"/>
  <c r="J109" i="44"/>
  <c r="C29" i="47" s="1"/>
  <c r="P114" i="44"/>
  <c r="I34" i="47" s="1"/>
  <c r="P108" i="44"/>
  <c r="I28" i="47" s="1"/>
  <c r="O109" i="44"/>
  <c r="H29" i="47" s="1"/>
  <c r="P116" i="44"/>
  <c r="I36" i="47" s="1"/>
  <c r="P113" i="44"/>
  <c r="I33" i="47" s="1"/>
  <c r="P110" i="44"/>
  <c r="I30" i="47" s="1"/>
  <c r="P107" i="44"/>
  <c r="I27" i="47" s="1"/>
  <c r="P115" i="44"/>
  <c r="I35" i="47" s="1"/>
  <c r="P109" i="44"/>
  <c r="I29" i="47" s="1"/>
  <c r="O113" i="44"/>
  <c r="H33" i="47" s="1"/>
  <c r="O110" i="44"/>
  <c r="H30" i="47" s="1"/>
  <c r="O107" i="44"/>
  <c r="H27" i="47" s="1"/>
  <c r="AK106" i="44"/>
  <c r="AG106" i="44"/>
  <c r="U106" i="44"/>
  <c r="AI106" i="44"/>
  <c r="W106" i="44"/>
  <c r="AF106" i="44"/>
  <c r="S106" i="44"/>
  <c r="Y106" i="44"/>
  <c r="AH106" i="44"/>
  <c r="R106" i="44"/>
  <c r="X106" i="44"/>
  <c r="P105" i="44" l="1"/>
  <c r="Z105" i="44"/>
  <c r="W26" i="47"/>
  <c r="P104" i="44"/>
  <c r="G23" i="47"/>
  <c r="Z23" i="47"/>
  <c r="L23" i="47"/>
  <c r="J23" i="47"/>
  <c r="N26" i="47"/>
  <c r="AA26" i="47"/>
  <c r="Q26" i="47"/>
  <c r="K26" i="47"/>
  <c r="AB26" i="47"/>
  <c r="P26" i="47"/>
  <c r="L26" i="47"/>
  <c r="R26" i="47"/>
  <c r="J26" i="47"/>
  <c r="Y26" i="47"/>
  <c r="Z26" i="47"/>
  <c r="AA23" i="47"/>
  <c r="AD23" i="47"/>
  <c r="K23" i="47"/>
  <c r="N23" i="47"/>
  <c r="R23" i="47"/>
  <c r="Q23" i="47"/>
  <c r="M113" i="44"/>
  <c r="F33" i="47" s="1"/>
  <c r="L113" i="44"/>
  <c r="E33" i="47" s="1"/>
  <c r="V109" i="44"/>
  <c r="O29" i="47" s="1"/>
  <c r="P106" i="44"/>
  <c r="V105" i="44" s="1"/>
  <c r="J106" i="44"/>
  <c r="O106" i="44"/>
  <c r="AS113" i="44"/>
  <c r="AL33" i="47" s="1"/>
  <c r="AL116" i="44"/>
  <c r="AE36" i="47" s="1"/>
  <c r="AL114" i="44"/>
  <c r="AE34" i="47" s="1"/>
  <c r="AS109" i="44"/>
  <c r="AL29" i="47" s="1"/>
  <c r="AL109" i="44"/>
  <c r="AE29" i="47" s="1"/>
  <c r="AO110" i="44"/>
  <c r="AH30" i="47" s="1"/>
  <c r="AL108" i="44"/>
  <c r="AE28" i="47" s="1"/>
  <c r="AL115" i="44"/>
  <c r="AE35" i="47" s="1"/>
  <c r="AL107" i="44"/>
  <c r="AE27" i="47" s="1"/>
  <c r="AS110" i="44"/>
  <c r="AL30" i="47" s="1"/>
  <c r="AL110" i="44"/>
  <c r="AE30" i="47" s="1"/>
  <c r="AO109" i="44"/>
  <c r="AH29" i="47" s="1"/>
  <c r="V113" i="44"/>
  <c r="O33" i="47" s="1"/>
  <c r="AL113" i="44"/>
  <c r="AE33" i="47" s="1"/>
  <c r="G26" i="47"/>
  <c r="S25" i="47" l="1"/>
  <c r="I25" i="47"/>
  <c r="AD26" i="47"/>
  <c r="AE25" i="47" s="1"/>
  <c r="F26" i="47"/>
  <c r="E26" i="47"/>
  <c r="M106" i="44"/>
  <c r="L106" i="44"/>
  <c r="V110" i="44"/>
  <c r="O30" i="47" s="1"/>
  <c r="Z114" i="44"/>
  <c r="S34" i="47" s="1"/>
  <c r="AO114" i="44"/>
  <c r="AH34" i="47" s="1"/>
  <c r="AS114" i="44"/>
  <c r="AL34" i="47" s="1"/>
  <c r="V116" i="44"/>
  <c r="O36" i="47" s="1"/>
  <c r="H23" i="47"/>
  <c r="V114" i="44"/>
  <c r="O34" i="47" s="1"/>
  <c r="AS115" i="44"/>
  <c r="AL35" i="47" s="1"/>
  <c r="C26" i="47"/>
  <c r="H26" i="47"/>
  <c r="V108" i="44"/>
  <c r="O28" i="47" s="1"/>
  <c r="V115" i="44"/>
  <c r="O35" i="47" s="1"/>
  <c r="AO115" i="44"/>
  <c r="AH35" i="47" s="1"/>
  <c r="AC109" i="44"/>
  <c r="V29" i="47" s="1"/>
  <c r="AN109" i="44"/>
  <c r="AG29" i="47" s="1"/>
  <c r="AO113" i="44"/>
  <c r="AH33" i="47" s="1"/>
  <c r="V107" i="44"/>
  <c r="O27" i="47" s="1"/>
  <c r="AL106" i="44"/>
  <c r="AS108" i="44"/>
  <c r="AL28" i="47" s="1"/>
  <c r="Z110" i="44"/>
  <c r="S30" i="47" s="1"/>
  <c r="Z113" i="44"/>
  <c r="S33" i="47" s="1"/>
  <c r="AN113" i="44"/>
  <c r="AG33" i="47" s="1"/>
  <c r="AC113" i="44"/>
  <c r="V33" i="47" s="1"/>
  <c r="AO107" i="44"/>
  <c r="AH27" i="47" s="1"/>
  <c r="AO108" i="44"/>
  <c r="AH28" i="47" s="1"/>
  <c r="AO116" i="44"/>
  <c r="AH36" i="47" s="1"/>
  <c r="AB109" i="44"/>
  <c r="U29" i="47" s="1"/>
  <c r="AB113" i="44"/>
  <c r="U33" i="47" s="1"/>
  <c r="AS107" i="44"/>
  <c r="AL27" i="47" s="1"/>
  <c r="AS116" i="44"/>
  <c r="AL36" i="47" s="1"/>
  <c r="I107" i="44"/>
  <c r="B27" i="47" s="1"/>
  <c r="I108" i="44"/>
  <c r="B28" i="47" s="1"/>
  <c r="I109" i="44"/>
  <c r="B29" i="47" s="1"/>
  <c r="I110" i="44"/>
  <c r="B30" i="47" s="1"/>
  <c r="I111" i="44"/>
  <c r="B31" i="47" s="1"/>
  <c r="I112" i="44"/>
  <c r="B32" i="47" s="1"/>
  <c r="I113" i="44"/>
  <c r="B33" i="47" s="1"/>
  <c r="I114" i="44"/>
  <c r="B34" i="47" s="1"/>
  <c r="I115" i="44"/>
  <c r="B35" i="47" s="1"/>
  <c r="I116" i="44"/>
  <c r="B36" i="47" s="1"/>
  <c r="B25" i="47" l="1"/>
  <c r="I105" i="44"/>
  <c r="E23" i="47"/>
  <c r="I26" i="47"/>
  <c r="O25" i="47" s="1"/>
  <c r="AK26" i="47"/>
  <c r="AE23" i="47"/>
  <c r="AC110" i="44"/>
  <c r="V30" i="47" s="1"/>
  <c r="AB110" i="44"/>
  <c r="U30" i="47" s="1"/>
  <c r="AN110" i="44"/>
  <c r="AG30" i="47" s="1"/>
  <c r="AQ110" i="44"/>
  <c r="AJ30" i="47" s="1"/>
  <c r="Z116" i="44"/>
  <c r="S36" i="47" s="1"/>
  <c r="AP110" i="44"/>
  <c r="AI30" i="47" s="1"/>
  <c r="AN114" i="44"/>
  <c r="AG34" i="47" s="1"/>
  <c r="Z109" i="44"/>
  <c r="S29" i="47" s="1"/>
  <c r="C23" i="47"/>
  <c r="AB116" i="44"/>
  <c r="U36" i="47" s="1"/>
  <c r="AC116" i="44"/>
  <c r="V36" i="47" s="1"/>
  <c r="AB115" i="44"/>
  <c r="U35" i="47" s="1"/>
  <c r="AB114" i="44"/>
  <c r="U34" i="47" s="1"/>
  <c r="Z108" i="44"/>
  <c r="S28" i="47" s="1"/>
  <c r="AC115" i="44"/>
  <c r="V35" i="47" s="1"/>
  <c r="AC114" i="44"/>
  <c r="V34" i="47" s="1"/>
  <c r="F23" i="47"/>
  <c r="AN115" i="44"/>
  <c r="AG35" i="47" s="1"/>
  <c r="Z115" i="44"/>
  <c r="S35" i="47" s="1"/>
  <c r="AC108" i="44"/>
  <c r="V28" i="47" s="1"/>
  <c r="AB108" i="44"/>
  <c r="U28" i="47" s="1"/>
  <c r="AN116" i="44"/>
  <c r="AG36" i="47" s="1"/>
  <c r="AC107" i="44"/>
  <c r="V27" i="47" s="1"/>
  <c r="AB107" i="44"/>
  <c r="U27" i="47" s="1"/>
  <c r="AE113" i="44"/>
  <c r="X33" i="47" s="1"/>
  <c r="AS106" i="44"/>
  <c r="AQ109" i="44"/>
  <c r="AJ29" i="47" s="1"/>
  <c r="Z107" i="44"/>
  <c r="S27" i="47" s="1"/>
  <c r="AN107" i="44"/>
  <c r="AG27" i="47" s="1"/>
  <c r="V106" i="44"/>
  <c r="AQ113" i="44"/>
  <c r="AJ33" i="47" s="1"/>
  <c r="AP109" i="44"/>
  <c r="AI29" i="47" s="1"/>
  <c r="AO106" i="44"/>
  <c r="AP113" i="44"/>
  <c r="AI33" i="47" s="1"/>
  <c r="AN108" i="44"/>
  <c r="AG28" i="47" s="1"/>
  <c r="I106" i="44"/>
  <c r="B24" i="47" l="1"/>
  <c r="S26" i="47"/>
  <c r="P23" i="47"/>
  <c r="I23" i="47"/>
  <c r="S23" i="47"/>
  <c r="AL23" i="47"/>
  <c r="AL26" i="47"/>
  <c r="AH23" i="47"/>
  <c r="AM110" i="44"/>
  <c r="AF30" i="47" s="1"/>
  <c r="AE110" i="44"/>
  <c r="X30" i="47" s="1"/>
  <c r="AQ115" i="44"/>
  <c r="AJ35" i="47" s="1"/>
  <c r="AP114" i="44"/>
  <c r="AI34" i="47" s="1"/>
  <c r="AQ114" i="44"/>
  <c r="AJ34" i="47" s="1"/>
  <c r="AE115" i="44"/>
  <c r="X35" i="47" s="1"/>
  <c r="AE114" i="44"/>
  <c r="X34" i="47" s="1"/>
  <c r="AE116" i="44"/>
  <c r="X36" i="47" s="1"/>
  <c r="AE109" i="44"/>
  <c r="X29" i="47" s="1"/>
  <c r="AE108" i="44"/>
  <c r="X28" i="47" s="1"/>
  <c r="AP115" i="44"/>
  <c r="AI35" i="47" s="1"/>
  <c r="AP116" i="44"/>
  <c r="AI36" i="47" s="1"/>
  <c r="AQ116" i="44"/>
  <c r="AJ36" i="47" s="1"/>
  <c r="AE107" i="44"/>
  <c r="X27" i="47" s="1"/>
  <c r="AC106" i="44"/>
  <c r="AB106" i="44"/>
  <c r="AQ108" i="44"/>
  <c r="AJ28" i="47" s="1"/>
  <c r="AP107" i="44"/>
  <c r="AI27" i="47" s="1"/>
  <c r="AQ107" i="44"/>
  <c r="AJ27" i="47" s="1"/>
  <c r="AN106" i="44"/>
  <c r="AM113" i="44"/>
  <c r="AF33" i="47" s="1"/>
  <c r="AM109" i="44"/>
  <c r="AF29" i="47" s="1"/>
  <c r="AP108" i="44"/>
  <c r="AI28" i="47" s="1"/>
  <c r="Z106" i="44"/>
  <c r="I24" i="47" l="1"/>
  <c r="S24" i="47"/>
  <c r="O24" i="47"/>
  <c r="P24" i="47"/>
  <c r="AE105" i="44"/>
  <c r="AH26" i="47"/>
  <c r="O26" i="47"/>
  <c r="T25" i="47" s="1"/>
  <c r="AM114" i="44"/>
  <c r="AF34" i="47" s="1"/>
  <c r="AM115" i="44"/>
  <c r="AF35" i="47" s="1"/>
  <c r="AM116" i="44"/>
  <c r="AF36" i="47" s="1"/>
  <c r="AM108" i="44"/>
  <c r="AF28" i="47" s="1"/>
  <c r="AE106" i="44"/>
  <c r="AP106" i="44"/>
  <c r="AM107" i="44"/>
  <c r="AF27" i="47" s="1"/>
  <c r="AQ106" i="44"/>
  <c r="AM105" i="44" l="1"/>
  <c r="AE26" i="47"/>
  <c r="Y23" i="47"/>
  <c r="AE24" i="47" s="1"/>
  <c r="AK23" i="47"/>
  <c r="V26" i="47"/>
  <c r="AG26" i="47"/>
  <c r="T23" i="47"/>
  <c r="T26" i="47"/>
  <c r="U26" i="47"/>
  <c r="AG23" i="47"/>
  <c r="O23" i="47"/>
  <c r="T24" i="47" s="1"/>
  <c r="AM106" i="44"/>
  <c r="X25" i="47" l="1"/>
  <c r="X26" i="47"/>
  <c r="AI23" i="47"/>
  <c r="AJ26" i="47"/>
  <c r="AJ23" i="47"/>
  <c r="AI26" i="47"/>
  <c r="U23" i="47"/>
  <c r="V23" i="47"/>
  <c r="AF25" i="47" l="1"/>
  <c r="AF24" i="47"/>
  <c r="X24" i="47"/>
  <c r="AF26" i="47"/>
  <c r="AF23" i="47"/>
  <c r="X23" i="47"/>
  <c r="B26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S169" authorId="0" shapeId="0" xr:uid="{DB920AE9-AFA2-46B4-954B-FB9DE845857E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Speciální pedagog od 7. 4. 2026</t>
        </r>
      </text>
    </comment>
    <comment ref="AH169" authorId="0" shapeId="0" xr:uid="{69E3B99A-04C4-4F74-B508-E7CD5F598B7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Speciální pedagog od 7. 4. 2026
úvazek 0,5 přepočtený na 9 měsíců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R30" authorId="0" shapeId="0" xr:uid="{D256F808-D7F0-4A42-89D4-D20BB211CECC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oprava</t>
        </r>
      </text>
    </comment>
  </commentList>
</comments>
</file>

<file path=xl/sharedStrings.xml><?xml version="1.0" encoding="utf-8"?>
<sst xmlns="http://schemas.openxmlformats.org/spreadsheetml/2006/main" count="4586" uniqueCount="831">
  <si>
    <t>§</t>
  </si>
  <si>
    <t>FKSP</t>
  </si>
  <si>
    <t>Krajský úřad Libereckého kraje</t>
  </si>
  <si>
    <t>U Jezu 642/2a, Liberec 2, 461 80</t>
  </si>
  <si>
    <t>Odbor školství, mládeže, tělovýchovy a sportu</t>
  </si>
  <si>
    <t>Odvody</t>
  </si>
  <si>
    <t>Celkem NIV</t>
  </si>
  <si>
    <t>DDM Jablonec n. N., Podhorská 49</t>
  </si>
  <si>
    <t>DDM Jablonec n. N., Podhorská 49 Celkem</t>
  </si>
  <si>
    <t>MŠ Jablonec n. N., 28.října 16/1858</t>
  </si>
  <si>
    <t>MŠ Jablonec n. N., 28.října 16/1858 Celkem</t>
  </si>
  <si>
    <t xml:space="preserve">MŠ Jablonec n. N., Arbesova 50/3779 </t>
  </si>
  <si>
    <t>MŠ Jablonec n. N., Arbesova 50/3779  Celkem</t>
  </si>
  <si>
    <t>MŠ Jablonec n. N., Čs. armády 37</t>
  </si>
  <si>
    <t>MŠ Jablonec n. N., Čs. armády 37 Celkem</t>
  </si>
  <si>
    <t xml:space="preserve">MŠ Jablonec n. N., Dolní 3969 </t>
  </si>
  <si>
    <t>MŠ Jablonec n. N., Dolní 3969  Celkem</t>
  </si>
  <si>
    <t>MŠ Jablonec n. N., Havlíčkova 4/130</t>
  </si>
  <si>
    <t>MŠ Jablonec n. N., Havlíčkova 4/130 Celkem</t>
  </si>
  <si>
    <t>MŠ Jablonec n. N., Hřbitovní 10/3677</t>
  </si>
  <si>
    <t>MŠ Jablonec n. N., Hřbitovní 10/3677 Celkem</t>
  </si>
  <si>
    <t>MŠ Jablonec n. N., Husova 3/1444</t>
  </si>
  <si>
    <t>MŠ Jablonec n. N., Husova 3/1444 Celkem</t>
  </si>
  <si>
    <t xml:space="preserve">MŠ Jablonec n. N., J. Hory 31/4097 </t>
  </si>
  <si>
    <t>MŠ Jablonec n. N., J. Hory 31/4097  Celkem</t>
  </si>
  <si>
    <t>MŠ Jablonec n. N., Jugoslávská 13/1885</t>
  </si>
  <si>
    <t>MŠ Jablonec n. N., Jugoslávská 13/1885 Celkem</t>
  </si>
  <si>
    <t xml:space="preserve">MŠ Jablonec n. N., Lovecká 11/249 </t>
  </si>
  <si>
    <t>MŠ Jablonec n. N., Lovecká 11/249  Celkem</t>
  </si>
  <si>
    <t>MŠ Jablonec n. N., Mechová 10/3645</t>
  </si>
  <si>
    <t>MŠ Jablonec n. N., Mechová 10/3645 Celkem</t>
  </si>
  <si>
    <t xml:space="preserve">MŠ Jablonec n. N., Nová Pasířská 10/3825 </t>
  </si>
  <si>
    <t>MŠ Jablonec n. N., Nová Pasířská 10/3825 Celkem</t>
  </si>
  <si>
    <t xml:space="preserve">MŠ Jablonec n. N., Střelecká 14/1067 </t>
  </si>
  <si>
    <t>MŠ Jablonec n. N., Střelecká 14/1067  Celkem</t>
  </si>
  <si>
    <t>MŠ Jablonec n. N., Švédská 14/3494</t>
  </si>
  <si>
    <t>MŠ Jablonec n. N., Švédská 14/3494 Celkem</t>
  </si>
  <si>
    <t>MŠ Jablonec n. N., Tichá 19/3892</t>
  </si>
  <si>
    <t>MŠ Jablonec n. N., Tichá 19/3892 Celkem</t>
  </si>
  <si>
    <t xml:space="preserve">MŠ Jablonec n. N., Zámecká 10/223 </t>
  </si>
  <si>
    <t>MŠ Jablonec n. N., Zámecká 10/223  Celkem</t>
  </si>
  <si>
    <t>MŠ spec. Jablonec n. N., Palackého 37 Celkem</t>
  </si>
  <si>
    <t>ZŠ Jablonec n. N., 5. května 76</t>
  </si>
  <si>
    <t>ZŠ Jablonec n. N., 5. května 76 Celkem</t>
  </si>
  <si>
    <t>ZŠ Jablonec n. N., Arbesova 30</t>
  </si>
  <si>
    <t>ZŠ Jablonec n. N., Arbesova 30 Celkem</t>
  </si>
  <si>
    <t>ZŠ Jablonec n. N., Liberecká 26</t>
  </si>
  <si>
    <t>ZŠ Jablonec n. N., Liberecká 26 Celkem</t>
  </si>
  <si>
    <t>ZŠ Jablonec n. N., Mozartova 24</t>
  </si>
  <si>
    <t>ZŠ Jablonec n. N., Mozartova 24 Celkem</t>
  </si>
  <si>
    <t>ZŠ Jablonec n. N., Na Šumavě 43</t>
  </si>
  <si>
    <t>ZŠ Jablonec n. N., Na Šumavě 43 Celkem</t>
  </si>
  <si>
    <t>ZŠ Jablonec n. N., Pasířská 72</t>
  </si>
  <si>
    <t>ZŠ Jablonec n. N., Pasířská 72 Celkem</t>
  </si>
  <si>
    <t>ZŠ Jablonec n. N., Pivovarská 15</t>
  </si>
  <si>
    <t>ZŠ Jablonec n. N., Pivovarská 15 Celkem</t>
  </si>
  <si>
    <t>ZŠ Jablonec n. N., Pod Vodárnou 10</t>
  </si>
  <si>
    <t>ZŠ Jablonec n. N., Pod Vodárnou 10 Celkem</t>
  </si>
  <si>
    <t>ZŠ Jablonec n. N., Rychnovská 216</t>
  </si>
  <si>
    <t>ZŠ Jablonec n. N., Rychnovská 216 Celkem</t>
  </si>
  <si>
    <t>ZUŠ Jablonec n. N., Podhorská 47</t>
  </si>
  <si>
    <t>ZUŠ Jablonec n. N., Podhorská 47 Celkem</t>
  </si>
  <si>
    <t>ZŠ a MŠ Janov n. N. 374</t>
  </si>
  <si>
    <t>ZŠ a MŠ Janov n. N. 374 Celkem</t>
  </si>
  <si>
    <t>ZŠ a MŠ Josefův Důl 208</t>
  </si>
  <si>
    <t>ZŠ a MŠ Josefův Důl 208 Celkem</t>
  </si>
  <si>
    <t>MŠ Lučany n. N. 570</t>
  </si>
  <si>
    <t>MŠ Lučany n. N. 570 Celkem</t>
  </si>
  <si>
    <t>ZŠ Lučany n. N. 420</t>
  </si>
  <si>
    <t>ZŠ Lučany n. N. 420 Celkem</t>
  </si>
  <si>
    <t>MŠ Maršovice 81</t>
  </si>
  <si>
    <t>MŠ Maršovice 81 Celkem</t>
  </si>
  <si>
    <t>ZŠ a MŠ Nová Ves n. N. 264</t>
  </si>
  <si>
    <t>ZŠ a MŠ Nová Ves n. N. 264 Celkem</t>
  </si>
  <si>
    <t>MŠ Rádlo 3</t>
  </si>
  <si>
    <t>MŠ Rádlo 3 Celkem</t>
  </si>
  <si>
    <t>ZŠ Rádlo 121</t>
  </si>
  <si>
    <t xml:space="preserve">ZŠ Rádlo 121 </t>
  </si>
  <si>
    <t>ZŠ Rádlo 121 Celkem</t>
  </si>
  <si>
    <t>ZŠ a MŠ Rychnov u Jabl. n. N., Školní 488</t>
  </si>
  <si>
    <t>ZŠ a MŠ Rychnov u Jabl. n. N., Školní 488 Celkem</t>
  </si>
  <si>
    <t>MŠ Tanvald, U Školky 579</t>
  </si>
  <si>
    <t>MŠ Tanvald, U Školky 579 Celkem</t>
  </si>
  <si>
    <t>SVČ Tanvald, Protifašistických boj. 336</t>
  </si>
  <si>
    <t>SVČ Tanvald, Protifašistických boj. 336 Celkem</t>
  </si>
  <si>
    <t>ZŠ a OA Tanvald, Školní 416 Celkem</t>
  </si>
  <si>
    <t>ZŠ Tanvald, Sportovní 576</t>
  </si>
  <si>
    <t>ZŠ Tanvald, Sportovní 576 Celkem</t>
  </si>
  <si>
    <t>ZUŠ Tanvald, Nemocniční 339</t>
  </si>
  <si>
    <t>ZUŠ Tanvald, Nemocniční 339 Celkem</t>
  </si>
  <si>
    <t>ZŠ a MŠ Albrechtice v Jiz. horách 226</t>
  </si>
  <si>
    <t>ZŠ a MŠ Albrechtice v Jiz. horách 226 Celkem</t>
  </si>
  <si>
    <t>ZŠ a MŠ Desná v Jiz. horách, Krkonošská 613</t>
  </si>
  <si>
    <t>ZŠ a MŠ Desná v Jiz. horách, Krkonošská 613 Celkem</t>
  </si>
  <si>
    <t>MŠ Harrachov 419</t>
  </si>
  <si>
    <t>MŠ Harrachov 419 Celkem</t>
  </si>
  <si>
    <t xml:space="preserve">ZŠ Harrachov, Nový Svět 77 </t>
  </si>
  <si>
    <t>ZŠ Harrachov, Nový Svět 77  Celkem</t>
  </si>
  <si>
    <t>ZŠ a MŠ Kořenov 800</t>
  </si>
  <si>
    <t>ZŠ a MŠ Kořenov 800 Celkem</t>
  </si>
  <si>
    <t>MŠ Plavy 24</t>
  </si>
  <si>
    <t>MŠ Plavy 24 Celkem</t>
  </si>
  <si>
    <t>ZŠ Plavy 65</t>
  </si>
  <si>
    <t>ZŠ Plavy 65 Celkem</t>
  </si>
  <si>
    <t>MŠ Smržovka, Havlíčkova 826</t>
  </si>
  <si>
    <t>MŠ Smržovka, Havlíčkova 826 Celkem</t>
  </si>
  <si>
    <t>ZŠ Smržovka, Komenského 964</t>
  </si>
  <si>
    <t>ZŠ Smržovka, Komenského 964 Celkem</t>
  </si>
  <si>
    <t>MŠ Velké Hamry I.621 Celkem</t>
  </si>
  <si>
    <t>ZŠ a MŠ Velké Hamry II.212 Celkem</t>
  </si>
  <si>
    <t>ZŠ a MŠ Zlatá Olešnice 34</t>
  </si>
  <si>
    <t>ZŠ a MŠ Zlatá Olešnice 34 Celkem</t>
  </si>
  <si>
    <t>MŠ  Železný Brod, Na Vápence 766</t>
  </si>
  <si>
    <t>MŠ Železný Brod, Na Vápence 766</t>
  </si>
  <si>
    <t>MŠ  Železný Brod, Na Vápence 766 Celkem</t>
  </si>
  <si>
    <t>MŠ  Železný Brod, Slunečná 327</t>
  </si>
  <si>
    <t>MŠ  Železný Brod, Slunečná 327 Celkem</t>
  </si>
  <si>
    <t>MŠ Železný Brod, Stavbařů 832</t>
  </si>
  <si>
    <t>MŠ Železný Brod, Stavbařů 832 Celkem</t>
  </si>
  <si>
    <t>SVČ Mozaika Železný Brod, Jiráskovo nábřeží 366</t>
  </si>
  <si>
    <t>SVČ Mozaika Železný Brod, Jiráskovo nábřeží 366 Celkem</t>
  </si>
  <si>
    <t>ZŠ Železný Brod, Pelechovská 800</t>
  </si>
  <si>
    <t>ZŠ Železný Brod, Pelechovská 800 Celkem</t>
  </si>
  <si>
    <t>ZŠ Železný Brod, Školní 700</t>
  </si>
  <si>
    <t>ZŠ Železný Brod, Školní 700 Celkem</t>
  </si>
  <si>
    <t>ZUŠ Železný Brod, Koberovská 589</t>
  </si>
  <si>
    <t>ZUŠ Železný Brod, Koberovská 589 Celkem</t>
  </si>
  <si>
    <t>MŠ Koberovy 140</t>
  </si>
  <si>
    <t>ZŠ Koberovy 1</t>
  </si>
  <si>
    <t>ZŠ Koberovy 1 Celkem</t>
  </si>
  <si>
    <t>MŠ Pěnčín 62</t>
  </si>
  <si>
    <t>MŠ Pěnčín 62 Celkem</t>
  </si>
  <si>
    <t>ZŠ Pěnčín 22, Bratříkov</t>
  </si>
  <si>
    <t>ZŠ Pěnčín 22, Bratříkov Celkem</t>
  </si>
  <si>
    <t>ZŠ a MŠ Skuhrov, Huntířov n. J. 63</t>
  </si>
  <si>
    <t>ZŠ a MŠ Skuhrov, Huntířov n. J. 63 Celkem</t>
  </si>
  <si>
    <t>MŠ Zásada 326</t>
  </si>
  <si>
    <t>MŠ Zásada 326 Celkem</t>
  </si>
  <si>
    <t>ZŠ Zásada 264</t>
  </si>
  <si>
    <t>ZŠ Zásada 264 Celkem</t>
  </si>
  <si>
    <t>DDM Česká Lípa, Škroupovo nám. 138</t>
  </si>
  <si>
    <t>DDM Česká Lípa, Škroupovo nám. 138 Celkem</t>
  </si>
  <si>
    <t>MŠ Česká Lípa,  A.Sovy 1740</t>
  </si>
  <si>
    <t>MŠ Česká Lípa,  A.Sovy 1740 Celkem</t>
  </si>
  <si>
    <t>MŠ Česká Lípa, Arbesova 411</t>
  </si>
  <si>
    <t>MŠ Česká Lípa, Arbesova 411 Celkem</t>
  </si>
  <si>
    <t>MŠ Česká Lípa, Bratří Čapků 2864</t>
  </si>
  <si>
    <t>MŠ Česká Lípa, Bratří Čapků 2864 Celkem</t>
  </si>
  <si>
    <t>MŠ Česká Lípa, Moskevská 2434</t>
  </si>
  <si>
    <t>MŠ Česká Lípa, Moskevská 2434 Celkem</t>
  </si>
  <si>
    <t>MŠ Česká Lípa, Severní 2214</t>
  </si>
  <si>
    <t>MŠ Česká Lípa, Severní 2214 Celkem</t>
  </si>
  <si>
    <t>MŠ Česká Lípa, Svárovská 3315</t>
  </si>
  <si>
    <t>MŠ Česká Lípa, Svárovská 3315 Celkem</t>
  </si>
  <si>
    <t>MŠ Česká Lípa, Zhořelecká 2607</t>
  </si>
  <si>
    <t>MŠ Česká Lípa, Zhořelecká 2607 Celkem</t>
  </si>
  <si>
    <t>ZŠ a MŠ Česká Lípa, Jižní 1903</t>
  </si>
  <si>
    <t>ZŠ a MŠ Česká Lípa, Jižní 1903 Celkem</t>
  </si>
  <si>
    <t>ZŠ Česká Lípa, 28.října 2733</t>
  </si>
  <si>
    <t>ZŠ Česká Lípa, 28.října 2733 Celkem</t>
  </si>
  <si>
    <t>ZŠ Česká Lípa, A. Sovy 3056</t>
  </si>
  <si>
    <t>ZŠ Česká Lípa, A. Sovy 3056 Celkem</t>
  </si>
  <si>
    <t xml:space="preserve">ZŠ Česká Lípa, Mánesova 1526 </t>
  </si>
  <si>
    <t>ZŠ Česká Lípa, Mánesova 1526  Celkem</t>
  </si>
  <si>
    <t>ZŠ Česká Lípa, Partyzánská 1053</t>
  </si>
  <si>
    <t>ZŠ Česká Lípa, Partyzánská 1053 Celkem</t>
  </si>
  <si>
    <t>ZŠ Česká Lípa, Pátova 406</t>
  </si>
  <si>
    <t>ZŠ Česká Lípa, Pátova 406 Celkem</t>
  </si>
  <si>
    <t>ZŠ Česká Lípa, Školní 2520</t>
  </si>
  <si>
    <t>ZŠ Česká Lípa, Školní 2520 Celkem</t>
  </si>
  <si>
    <t>ZŠ Česká Lípa, Šluknovská 2904</t>
  </si>
  <si>
    <t>ZŠ Česká Lípa, Šluknovská 2904 Celkem</t>
  </si>
  <si>
    <t>ZŠ, Prakt. škola a MŠ Česká Lípa, Moskevská 679</t>
  </si>
  <si>
    <t>ZŠ, Prakt. škola a MŠ Česká Lípa, Moskevská 679 Celkem</t>
  </si>
  <si>
    <t>ZUŠ Česká Lípa, Arbesova 2077</t>
  </si>
  <si>
    <t>ZUŠ Česká Lípa, Arbesova 2077 Celkem</t>
  </si>
  <si>
    <t>MŠ Blíževedly 55</t>
  </si>
  <si>
    <t>MŠ Blíževedly 55 Celkem</t>
  </si>
  <si>
    <t>ZŠ a MŠ Brniště 101</t>
  </si>
  <si>
    <t>ZŠ a MŠ Brniště 101 Celkem</t>
  </si>
  <si>
    <t>MŠ Doksy, Libušina 838</t>
  </si>
  <si>
    <t>MŠ Doksy, Libušina 838 Celkem</t>
  </si>
  <si>
    <t>MŠ Doksy, Pražská 836</t>
  </si>
  <si>
    <t>MŠ Doksy, Pražská 836 Celkem</t>
  </si>
  <si>
    <t>ZŠ a MŠ Doksy-Staré Splavy, Jezerní 74</t>
  </si>
  <si>
    <t>ZŠ a MŠ Doksy-Staré Splavy, Jezerní 74 Celkem</t>
  </si>
  <si>
    <t xml:space="preserve">ZŠ Doksy, Valdštejnská 253 </t>
  </si>
  <si>
    <t>ZŠ Doksy, Valdštejnská 253  Celkem</t>
  </si>
  <si>
    <t>ZUŠ Doksy, Sokolská 299</t>
  </si>
  <si>
    <t>ZUŠ Doksy, Sokolská 299 Celkem</t>
  </si>
  <si>
    <t>MŠ Dubá, Luční 28</t>
  </si>
  <si>
    <t>MŠ Dubá, Luční 28 Celkem</t>
  </si>
  <si>
    <t>ZŠ Dubá, Dlouhá 113</t>
  </si>
  <si>
    <t>ZŠ Dubá, Dlouhá 113 Celkem</t>
  </si>
  <si>
    <t>ZŠ a MŠ Dubnice 240</t>
  </si>
  <si>
    <t>ZŠ a MŠ Dubnice 240 Celkem</t>
  </si>
  <si>
    <t>ZŠ a MŠ Holany 45 Celkem</t>
  </si>
  <si>
    <t>ZŠ a MŠ Horní Libchava 196</t>
  </si>
  <si>
    <t>ZŠ a MŠ Horní Libchava 196 Celkem</t>
  </si>
  <si>
    <t>MŠ Horní Police, Křižíkova 183</t>
  </si>
  <si>
    <t>MŠ Horní Police, Křižíkova 183 Celkem</t>
  </si>
  <si>
    <t>ZŠ Horní Police, 9. května 2</t>
  </si>
  <si>
    <t>ZŠ Horní Police, 9. května 2 Celkem</t>
  </si>
  <si>
    <t>ZŠ a MŠ Jestřebí 105</t>
  </si>
  <si>
    <t>ZŠ a MŠ Jestřebí 105 Celkem</t>
  </si>
  <si>
    <t>MŠ Kravaře, Úštěcká 43</t>
  </si>
  <si>
    <t>MŠ Kravaře, Úštěcká 43 Celkem</t>
  </si>
  <si>
    <t>ZŠ Kravaře, Školní 115</t>
  </si>
  <si>
    <t>ZŠ Kravaře, Školní 115 Celkem</t>
  </si>
  <si>
    <t>ZŠ a MŠ Mimoň, Mírová 81 Celkem</t>
  </si>
  <si>
    <t>ZUŠ Mimoň, Mírová 119</t>
  </si>
  <si>
    <t>ZUŠ Mimoň, Mírová 119 Celkem</t>
  </si>
  <si>
    <t>MŠ Noviny pod Ralskem 116</t>
  </si>
  <si>
    <t>MŠ Noviny pod Ralskem 116 Celkem</t>
  </si>
  <si>
    <t>ZŠ a MŠ Nový Oldřichov 86</t>
  </si>
  <si>
    <t>ZŠ a MŠ Nový Oldřichov 86 Celkem</t>
  </si>
  <si>
    <t>ZŠ a MŠ Okna 3</t>
  </si>
  <si>
    <t>ZŠ a MŠ Okna 3 Celkem</t>
  </si>
  <si>
    <t>MŠ Provodín 1</t>
  </si>
  <si>
    <t>MŠ Provodín 1 Celkem</t>
  </si>
  <si>
    <t>ZŠ a MŠ Ralsko-Kuřivody 700</t>
  </si>
  <si>
    <t>ZŠ a MŠ Ralsko-Kuřivody 700 Celkem</t>
  </si>
  <si>
    <t>MŠ Sosnová 49</t>
  </si>
  <si>
    <t>MŠ Sosnová 49 Celkem</t>
  </si>
  <si>
    <t>ZŠ a MŠ Stráž p. R., Pionýrů 141</t>
  </si>
  <si>
    <t>ZŠ a MŠ Stráž p. R., Pionýrů 141 Celkem</t>
  </si>
  <si>
    <t>ZŠ a MŠ Volfartice 81</t>
  </si>
  <si>
    <t>ZŠ a MŠ Volfartice 81 Celkem</t>
  </si>
  <si>
    <t>ZŠ a MŠ Zahrádky u Č. L. 19</t>
  </si>
  <si>
    <t>ZŠ a MŠ Zahrádky u Č. L. 19 Celkem</t>
  </si>
  <si>
    <t>ZŠ a MŠ Zákupy, Školní 347</t>
  </si>
  <si>
    <t>ZŠ a MŠ Zákupy, Školní 347 Celkem</t>
  </si>
  <si>
    <t>ZŠ a MŠ Žandov, Kostelní 200</t>
  </si>
  <si>
    <t>ZŠ a MŠ Žandov, Kostelní 200 Celkem</t>
  </si>
  <si>
    <t>ZUŠ Žandov, Dlouhá 121</t>
  </si>
  <si>
    <t>ZUŠ Žandov, Dlouhá 121 Celkem</t>
  </si>
  <si>
    <t>SUMÁŘ</t>
  </si>
  <si>
    <t xml:space="preserve">PO III </t>
  </si>
  <si>
    <t>LB</t>
  </si>
  <si>
    <t>FR</t>
  </si>
  <si>
    <t>JN</t>
  </si>
  <si>
    <t>TA</t>
  </si>
  <si>
    <t>ŽB</t>
  </si>
  <si>
    <t>ČL</t>
  </si>
  <si>
    <t>NB</t>
  </si>
  <si>
    <t>SM</t>
  </si>
  <si>
    <t>JI</t>
  </si>
  <si>
    <t>TU</t>
  </si>
  <si>
    <t>Celkem</t>
  </si>
  <si>
    <t>kontrolní</t>
  </si>
  <si>
    <t>IČO</t>
  </si>
  <si>
    <t>druh činnosti</t>
  </si>
  <si>
    <t>RED_IZO</t>
  </si>
  <si>
    <t>ICO</t>
  </si>
  <si>
    <t>NIV_CELKEM</t>
  </si>
  <si>
    <t>Platy_CELKEM</t>
  </si>
  <si>
    <t>ODVODY_CELKEM</t>
  </si>
  <si>
    <t>FKSP_CELKEM</t>
  </si>
  <si>
    <t>ZAM_CELKEM</t>
  </si>
  <si>
    <t>Platy</t>
  </si>
  <si>
    <t>OON_CELKEM</t>
  </si>
  <si>
    <t>rozpočet sestavil</t>
  </si>
  <si>
    <t>MŠMT</t>
  </si>
  <si>
    <t>KÚ</t>
  </si>
  <si>
    <t>MŠ Jablonec n. N., Palackého 37</t>
  </si>
  <si>
    <t>OON</t>
  </si>
  <si>
    <t xml:space="preserve">FKSP          </t>
  </si>
  <si>
    <t>převody (platy-dohody)</t>
  </si>
  <si>
    <t>Podpůrná opatření</t>
  </si>
  <si>
    <t>Individuální úpravy</t>
  </si>
  <si>
    <t>Převody do OON</t>
  </si>
  <si>
    <t xml:space="preserve">Dohody </t>
  </si>
  <si>
    <t>Odstupné</t>
  </si>
  <si>
    <t>ODV_UPR</t>
  </si>
  <si>
    <t>FKSP_UPR</t>
  </si>
  <si>
    <t>Úprava NIV celkem</t>
  </si>
  <si>
    <t>NIV_UPR</t>
  </si>
  <si>
    <t>MŠ</t>
  </si>
  <si>
    <t>PO</t>
  </si>
  <si>
    <t>AP spec.tř.</t>
  </si>
  <si>
    <t>ZŠ</t>
  </si>
  <si>
    <t>ZUŠ</t>
  </si>
  <si>
    <t>ŠK</t>
  </si>
  <si>
    <t>SVČ</t>
  </si>
  <si>
    <t xml:space="preserve">PO </t>
  </si>
  <si>
    <t>SŠ</t>
  </si>
  <si>
    <t>AP SŠ</t>
  </si>
  <si>
    <t>DDM Nový Bor, Smetanova 387</t>
  </si>
  <si>
    <t>DDM Nový Bor, Smetanova 387 Celkem</t>
  </si>
  <si>
    <t>MŠ Nový Bor, Svojsíkova 754</t>
  </si>
  <si>
    <t xml:space="preserve">MŠ </t>
  </si>
  <si>
    <t>MŠ Nový Bor, Svojsíkova 754 Celkem</t>
  </si>
  <si>
    <t>600074943</t>
  </si>
  <si>
    <t>ZŠ Nový Bor, B. Němcové 539</t>
  </si>
  <si>
    <t xml:space="preserve">ZŠ 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</si>
  <si>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</si>
  <si>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</si>
  <si>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</si>
  <si>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</si>
  <si>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</si>
  <si>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</si>
  <si>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</si>
  <si>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</si>
  <si>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</si>
  <si>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</si>
  <si>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</si>
  <si>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</si>
  <si>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</si>
  <si>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</si>
  <si>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 Cvikov, Sad 5. května 130/I</t>
  </si>
  <si>
    <t xml:space="preserve">ZŠ  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</si>
  <si>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</si>
  <si>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</si>
  <si>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</si>
  <si>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</si>
  <si>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</si>
  <si>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</si>
  <si>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</si>
  <si>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 xml:space="preserve">MŠ  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</si>
  <si>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</si>
  <si>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</si>
  <si>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</si>
  <si>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</si>
  <si>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</si>
  <si>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</si>
  <si>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</si>
  <si>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</si>
  <si>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</si>
  <si>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</si>
  <si>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</si>
  <si>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</si>
  <si>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</si>
  <si>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</si>
  <si>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</si>
  <si>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</si>
  <si>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</si>
  <si>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MŠ Semily, Na Olešce 433</t>
  </si>
  <si>
    <t>MŠ Semily, Na Olešce 433 Celkem</t>
  </si>
  <si>
    <t>MŠ Semily, Pekárenská 468</t>
  </si>
  <si>
    <t>MŠ Semily, Pekárenská 468 Celkem</t>
  </si>
  <si>
    <t>MŠ Semily, Pod Vartou 609 Celkem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</si>
  <si>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</si>
  <si>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</si>
  <si>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</si>
  <si>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</si>
  <si>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</si>
  <si>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</si>
  <si>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</si>
  <si>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</si>
  <si>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</si>
  <si>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</si>
  <si>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</si>
  <si>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</si>
  <si>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</si>
  <si>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</si>
  <si>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</si>
  <si>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</si>
  <si>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</si>
  <si>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</si>
  <si>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</si>
  <si>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</si>
  <si>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</si>
  <si>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</si>
  <si>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</si>
  <si>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</si>
  <si>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</si>
  <si>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</si>
  <si>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</si>
  <si>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</si>
  <si>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</si>
  <si>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</si>
  <si>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 Lomnice n. P., Komenského 1037</t>
  </si>
  <si>
    <t xml:space="preserve">SVČ </t>
  </si>
  <si>
    <t>SVČ  Lomnice n. P., Komenského 1037 Celkem</t>
  </si>
  <si>
    <t>MŠ Lomnice n. P., Bezručova 1534</t>
  </si>
  <si>
    <t>MŠ Lomnice n. P., Bezručova 1534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</si>
  <si>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</si>
  <si>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</si>
  <si>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</si>
  <si>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</si>
  <si>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</si>
  <si>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</si>
  <si>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</si>
  <si>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 xml:space="preserve">ZUŠ 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</si>
  <si>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</si>
  <si>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</si>
  <si>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</si>
  <si>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</si>
  <si>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</si>
  <si>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</si>
  <si>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</si>
  <si>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</si>
  <si>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</si>
  <si>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</si>
  <si>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</si>
  <si>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</si>
  <si>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</si>
  <si>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ZŠ Jilemnice, Jana Harracha 97</t>
  </si>
  <si>
    <t>ZŠ Jilemnice, Jana Harracha 97 Celkem</t>
  </si>
  <si>
    <t>ZŠ Jilemnice, Komenského 288</t>
  </si>
  <si>
    <t xml:space="preserve">ŠK </t>
  </si>
  <si>
    <t>ZŠ Jilemnice, Komenského 288 Celkem</t>
  </si>
  <si>
    <t>ZUŠ Jilemnice, Valdštejnská 216</t>
  </si>
  <si>
    <t>ZUŠ Jilemnice, Valdštejnská 216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</si>
  <si>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</si>
  <si>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</si>
  <si>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</si>
  <si>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</si>
  <si>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</si>
  <si>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</si>
  <si>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</si>
  <si>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</si>
  <si>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</si>
  <si>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</si>
  <si>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</si>
  <si>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</si>
  <si>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</si>
  <si>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</si>
  <si>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</si>
  <si>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</si>
  <si>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</si>
  <si>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</si>
  <si>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</si>
  <si>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</si>
  <si>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Horní Rokytnice 555</t>
  </si>
  <si>
    <t>MŠ Rokytnice n. J., Horní Rokytnice 555 Celkem</t>
  </si>
  <si>
    <t>ZŠ a MŠ Roztoky u Jilemnice 190</t>
  </si>
  <si>
    <t>ZŠ a MŠ Roztoky u Jilemnice 190 Celkem</t>
  </si>
  <si>
    <t>ZŠ a MŠ Studenec 367</t>
  </si>
  <si>
    <t xml:space="preserve"> ŠK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</si>
  <si>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</si>
  <si>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</si>
  <si>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</si>
  <si>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</si>
  <si>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</si>
  <si>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</si>
  <si>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</si>
  <si>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</si>
  <si>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</si>
  <si>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</si>
  <si>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</si>
  <si>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</si>
  <si>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</si>
  <si>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</si>
  <si>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</si>
  <si>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</si>
  <si>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</si>
  <si>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</si>
  <si>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</si>
  <si>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</si>
  <si>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</si>
  <si>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</si>
  <si>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</si>
  <si>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</si>
  <si>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</si>
  <si>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</si>
  <si>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</si>
  <si>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</si>
  <si>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</si>
  <si>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</si>
  <si>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</si>
  <si>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</si>
  <si>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</si>
  <si>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</si>
  <si>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</si>
  <si>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</si>
  <si>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</si>
  <si>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</si>
  <si>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</si>
  <si>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</si>
  <si>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</si>
  <si>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32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</si>
  <si>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</si>
  <si>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</si>
  <si>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</si>
  <si>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</si>
  <si>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</si>
  <si>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</si>
  <si>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</si>
  <si>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</si>
  <si>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</si>
  <si>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</si>
  <si>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</si>
  <si>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</si>
  <si>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</si>
  <si>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</si>
  <si>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</si>
  <si>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</si>
  <si>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</si>
  <si>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</si>
  <si>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</si>
  <si>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</si>
  <si>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</si>
  <si>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</si>
  <si>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</si>
  <si>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</si>
  <si>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</si>
  <si>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</si>
  <si>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</si>
  <si>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</si>
  <si>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</si>
  <si>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</si>
  <si>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</si>
  <si>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</si>
  <si>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</si>
  <si>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</si>
  <si>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</si>
  <si>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</si>
  <si>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</si>
  <si>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</si>
  <si>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</si>
  <si>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ZŠ spec.</t>
  </si>
  <si>
    <t>č. KÚ</t>
  </si>
  <si>
    <t>RED IZO</t>
  </si>
  <si>
    <t>por</t>
  </si>
  <si>
    <t>c_KU</t>
  </si>
  <si>
    <t>Zkr_nazev</t>
  </si>
  <si>
    <t>druh_cinnosti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</si>
  <si>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</si>
  <si>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</si>
  <si>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</si>
  <si>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</si>
  <si>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</si>
  <si>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</si>
  <si>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</si>
  <si>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</si>
  <si>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</si>
  <si>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</si>
  <si>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</si>
  <si>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</si>
  <si>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</si>
  <si>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</si>
  <si>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</si>
  <si>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</si>
  <si>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</si>
  <si>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</si>
  <si>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</si>
  <si>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</si>
  <si>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</si>
  <si>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</si>
  <si>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</si>
  <si>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</si>
  <si>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</si>
  <si>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</si>
  <si>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</si>
  <si>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</si>
  <si>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</si>
  <si>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</si>
  <si>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</si>
  <si>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</si>
  <si>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</si>
  <si>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</si>
  <si>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</si>
  <si>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</si>
  <si>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</si>
  <si>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</si>
  <si>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</si>
  <si>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</si>
  <si>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</si>
  <si>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</si>
  <si>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</si>
  <si>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</si>
  <si>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</si>
  <si>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</si>
  <si>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</si>
  <si>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</si>
  <si>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</si>
  <si>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</si>
  <si>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</si>
  <si>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</si>
  <si>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</si>
  <si>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</si>
  <si>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</si>
  <si>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</si>
  <si>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</si>
  <si>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</si>
  <si>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</si>
  <si>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</si>
  <si>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</si>
  <si>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</si>
  <si>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</si>
  <si>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</si>
  <si>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</si>
  <si>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</si>
  <si>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</si>
  <si>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</si>
  <si>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</si>
  <si>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</si>
  <si>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</si>
  <si>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</si>
  <si>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</si>
  <si>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</si>
  <si>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</si>
  <si>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</si>
  <si>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</si>
  <si>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</si>
  <si>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</si>
  <si>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</si>
  <si>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</si>
  <si>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</si>
  <si>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</si>
  <si>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</si>
  <si>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</si>
  <si>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</si>
  <si>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</si>
  <si>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</si>
  <si>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</si>
  <si>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</si>
  <si>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</si>
  <si>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</si>
  <si>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</si>
  <si>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</si>
  <si>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</si>
  <si>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</si>
  <si>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</si>
  <si>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</si>
  <si>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</si>
  <si>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</si>
  <si>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</si>
  <si>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</si>
  <si>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</si>
  <si>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</si>
  <si>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</si>
  <si>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</si>
  <si>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</si>
  <si>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</si>
  <si>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</si>
  <si>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</si>
  <si>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</si>
  <si>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</si>
  <si>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</si>
  <si>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</si>
  <si>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</si>
  <si>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</si>
  <si>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</si>
  <si>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</si>
  <si>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</si>
  <si>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</si>
  <si>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</si>
  <si>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</si>
  <si>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</si>
  <si>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</si>
  <si>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</si>
  <si>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</si>
  <si>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</si>
  <si>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</si>
  <si>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</si>
  <si>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</si>
  <si>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</si>
  <si>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</si>
  <si>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</si>
  <si>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</si>
  <si>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</si>
  <si>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</si>
  <si>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</si>
  <si>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</si>
  <si>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</si>
  <si>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</si>
  <si>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</si>
  <si>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</si>
  <si>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</si>
  <si>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</si>
  <si>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</si>
  <si>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</si>
  <si>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</si>
  <si>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</si>
  <si>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</si>
  <si>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</si>
  <si>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</si>
  <si>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</si>
  <si>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</si>
  <si>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</si>
  <si>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</si>
  <si>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</si>
  <si>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</si>
  <si>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</si>
  <si>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</si>
  <si>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</si>
  <si>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</si>
  <si>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</si>
  <si>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</si>
  <si>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</si>
  <si>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Celkem za PO III Liberec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</si>
  <si>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</si>
  <si>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</si>
  <si>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</si>
  <si>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</si>
  <si>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</si>
  <si>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</si>
  <si>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</si>
  <si>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</si>
  <si>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</si>
  <si>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</si>
  <si>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</si>
  <si>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</si>
  <si>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</si>
  <si>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</si>
  <si>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</si>
  <si>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</si>
  <si>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</si>
  <si>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</si>
  <si>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</si>
  <si>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</si>
  <si>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</si>
  <si>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</si>
  <si>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</si>
  <si>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</si>
  <si>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</si>
  <si>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</si>
  <si>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</si>
  <si>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</si>
  <si>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</si>
  <si>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</si>
  <si>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</si>
  <si>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</si>
  <si>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</si>
  <si>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</si>
  <si>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</si>
  <si>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</si>
  <si>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</si>
  <si>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</si>
  <si>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Celkem za PO III Frýdlant</t>
  </si>
  <si>
    <t>OON úprava celkem</t>
  </si>
  <si>
    <t>SUMÁŘ - PO III LIBEREC</t>
  </si>
  <si>
    <t>SUMÁŘ - PO III FRÝDLANT</t>
  </si>
  <si>
    <t>od</t>
  </si>
  <si>
    <t>Celkem za PO III Jablonec nad Nisou</t>
  </si>
  <si>
    <t>Celkem za PO III Tanvald</t>
  </si>
  <si>
    <t>Celkem za PO III Železný Brod</t>
  </si>
  <si>
    <t>poř.</t>
  </si>
  <si>
    <t>Celkem za PO III Česká Lípa</t>
  </si>
  <si>
    <t>škola - škol. zařízení (zkráceně)</t>
  </si>
  <si>
    <t>Celkem za PO III Nový Bor</t>
  </si>
  <si>
    <t>Celkem za PO III Semily</t>
  </si>
  <si>
    <t>Celkem za PO III Jilemnice</t>
  </si>
  <si>
    <t>Celkem za PO III Turnov</t>
  </si>
  <si>
    <t>ZŠ Jablonné v Podj., Komenského 453</t>
  </si>
  <si>
    <t>09360379</t>
  </si>
  <si>
    <t>ZŠ a ZUŠ Hrádek n. N., Komenského 478</t>
  </si>
  <si>
    <t>ZŠ a ZUŠ Hrádek n. N., Komenského 478 Celkem</t>
  </si>
  <si>
    <t>Masarykova ZŠ Tanvald, Školní 416</t>
  </si>
  <si>
    <t xml:space="preserve">AP ŠD </t>
  </si>
  <si>
    <t>MŠ Jilemnice, Roztocká 994</t>
  </si>
  <si>
    <t>MŠ Všelibice 100</t>
  </si>
  <si>
    <t>MŠ Všelibice 100 Celkem</t>
  </si>
  <si>
    <t>PO III JABLONEC NAD NISOU</t>
  </si>
  <si>
    <t>PO III TANVALD</t>
  </si>
  <si>
    <t>PO III ŽELEZNÝ BROD</t>
  </si>
  <si>
    <t>PO III ČESKÁ LÍPA</t>
  </si>
  <si>
    <t>PO III NOVÝ BOR</t>
  </si>
  <si>
    <t>PO III SEMILY</t>
  </si>
  <si>
    <t>PO III JILEMNICE</t>
  </si>
  <si>
    <t>PO III TURNOV</t>
  </si>
  <si>
    <t>z toho v Kč:</t>
  </si>
  <si>
    <t xml:space="preserve">MŠ Šimonovice 482 </t>
  </si>
  <si>
    <t>MŠ Šimonovice 482 Celkem</t>
  </si>
  <si>
    <t>ZŠ Jablonné v Podj., Komenského 453 Celkem</t>
  </si>
  <si>
    <t>ZŠ a MŠ Stružnice 69</t>
  </si>
  <si>
    <t>ZŠ a MŠ Stružnice 69 Celkem</t>
  </si>
  <si>
    <t>MŠ Treperka a waldorfská Semily, Pod Vartou 858</t>
  </si>
  <si>
    <t xml:space="preserve">ZŠ a MŠ Stružnice 69 </t>
  </si>
  <si>
    <t>ZŠ a MŠ Holany 93</t>
  </si>
  <si>
    <t>Jazyková příprava cizinců</t>
  </si>
  <si>
    <t>PLATY úprava celkem</t>
  </si>
  <si>
    <t>ZŠ a MŠ Benecko 150</t>
  </si>
  <si>
    <t>ZŠ a MŠ Benecko 150 Celkem</t>
  </si>
  <si>
    <t xml:space="preserve"> </t>
  </si>
  <si>
    <t>ZŠ a MŠ Křižany, Žibřidice 271</t>
  </si>
  <si>
    <t>ZŠ a MŠ Křižany, Žibřidice 271 Celkem</t>
  </si>
  <si>
    <t>Základní škola a Středisko volného času, Rokytnice nad Jizerou, příspěvková organizace</t>
  </si>
  <si>
    <t>Základní škola a Středisko volného času, Rokytnice nad Jizerou, celkem</t>
  </si>
  <si>
    <t>ŠD AP.spec</t>
  </si>
  <si>
    <t>ZŠ a MŠ Mimoň</t>
  </si>
  <si>
    <t>ÚPRAVA PLATY</t>
  </si>
  <si>
    <t>ÚPRAVA OON</t>
  </si>
  <si>
    <t>Upr_MP_Celkem</t>
  </si>
  <si>
    <t>Platy_Upr</t>
  </si>
  <si>
    <t>OON_Upr</t>
  </si>
  <si>
    <t>MŠ Velké Hamry</t>
  </si>
  <si>
    <t xml:space="preserve">ZŠ Velké Hamry </t>
  </si>
  <si>
    <t xml:space="preserve">ZŠ Horní Police, 9. května 2 </t>
  </si>
  <si>
    <r>
      <t>ZŠ a MŠ Benecko 150</t>
    </r>
    <r>
      <rPr>
        <sz val="8"/>
        <color indexed="10"/>
        <rFont val="Arial"/>
        <family val="2"/>
        <charset val="238"/>
      </rPr>
      <t xml:space="preserve"> </t>
    </r>
  </si>
  <si>
    <t>MŠ Studánka, Jablonné v Podj., U Školy 194</t>
  </si>
  <si>
    <t>MŠ Studánka, Jablonné v Podj., U Školy 194 Celkem</t>
  </si>
  <si>
    <t>Vážená paní ředitelko, vážený pane řediteli,</t>
  </si>
  <si>
    <t>Zpracoval: OŠMTS KÚ LK, oddělení financování přímých nákladů</t>
  </si>
  <si>
    <t>Lesní mateřská škola Jablonec n. N. - Proseč n. N.</t>
  </si>
  <si>
    <t>Lesní mateřská škola Jablonec n. N. - Proseč n. N. Celkem</t>
  </si>
  <si>
    <t xml:space="preserve">Podpůrná opatření </t>
  </si>
  <si>
    <t>Platy_Upr_</t>
  </si>
  <si>
    <t>Změna PHškoly</t>
  </si>
  <si>
    <t>Dohodovací řízení</t>
  </si>
  <si>
    <t xml:space="preserve">OON do Phmax </t>
  </si>
  <si>
    <t>Mzdové prostředky celkem</t>
  </si>
  <si>
    <t xml:space="preserve">ŠD </t>
  </si>
  <si>
    <t>ŠD</t>
  </si>
  <si>
    <t xml:space="preserve">MŠ Velké Hamry </t>
  </si>
  <si>
    <t xml:space="preserve">MŠ a ZŠ Turnov, Kosmonautů 1641 </t>
  </si>
  <si>
    <t>Úprava PED. celkem</t>
  </si>
  <si>
    <t>ZŠ PPP</t>
  </si>
  <si>
    <t>Počet PEDAG.</t>
  </si>
  <si>
    <t>OBV</t>
  </si>
  <si>
    <t>OBV_UPR</t>
  </si>
  <si>
    <t>OBV_CELKEM</t>
  </si>
  <si>
    <t>Změna Phškoly/   podpůrné pozice</t>
  </si>
  <si>
    <t>1)</t>
  </si>
  <si>
    <t>3)</t>
  </si>
  <si>
    <t>Pozn.:</t>
  </si>
  <si>
    <t>4)</t>
  </si>
  <si>
    <t>úprava</t>
  </si>
  <si>
    <t>ZŠ  PPP</t>
  </si>
  <si>
    <t>PED_UPR</t>
  </si>
  <si>
    <t>PED_CELKEM</t>
  </si>
  <si>
    <r>
      <t>ÚPRAVA POČTU PEDAGOG</t>
    </r>
    <r>
      <rPr>
        <b/>
        <sz val="10"/>
        <rFont val="Aptos Narrow"/>
        <family val="2"/>
      </rPr>
      <t>Ů</t>
    </r>
  </si>
  <si>
    <t>Rozpočet přímých nákladů k 7. 5. 2026</t>
  </si>
  <si>
    <t>PO k 1.3.+ k 1.4. 2026</t>
  </si>
  <si>
    <t>navýšení rozpočtu o prostředky na personální podpůrná opatření (PO) podle stavu PO k 1.3. a k 1.4. 2026, tj. sběr únor a březen 2026 (případně korekce vykázaných PO);</t>
  </si>
  <si>
    <t>Vzhledem k výši rezervy na platy nebyly prozatím zohledněny sběry měsíců duben a květen 2026, tj. PO k 1.5. a 1.6.2026, (případně korekce vykázaných PO za tyto sběry)</t>
  </si>
  <si>
    <t xml:space="preserve">Upozorňujeme, že současná výše krajské rezervy neumožňuje plně promítnout požadavky na podpůrná opatření do rozpočtů škol. </t>
  </si>
  <si>
    <t>Tyto požadavky budou zohledněny až po jejich úplném pokrytí ze strany MŠMT a po navýšení rezervy rozpočtu přímých neinvestičních výdajů Krajského úřadu Libereckého kraje.</t>
  </si>
  <si>
    <t xml:space="preserve">2) </t>
  </si>
  <si>
    <t>doplatek (40 %) požadavků na přesuny z prostředků na platy do OON (dohody), a s tím spojenou úpravu počtu zaměstnanců,</t>
  </si>
  <si>
    <t>individuální úpravy (důvod změny uveden v komentáři v příslušné buňce);</t>
  </si>
  <si>
    <t>dofinancování finančních prostředků na podpůrné pozice (psychology a speciální pedagogy) na základě dalších předložených žádostí;</t>
  </si>
  <si>
    <t>V rámci dohodovacího řízení v roce 2026 nedošlo k žádné úpravě rozpočtu.</t>
  </si>
  <si>
    <t>Komentář k rozpisu rozpočtu přímých NIV k 15. 6. 2026  (obecní školství)</t>
  </si>
  <si>
    <t>Předkládáme vám úpravu rozpisu rozpočtu přímých NIV k 15. 6. 2026, která obsahuje:</t>
  </si>
  <si>
    <t>V Liberci dne 15. 6. 2026</t>
  </si>
  <si>
    <t>Úprava rozpisu rozpočtu přímých NIV na rok 2026 ke dni 15. června 2026</t>
  </si>
  <si>
    <t>Rozpočet přímých nákladů k 15. 6. 2026</t>
  </si>
  <si>
    <t>školy tak mají přiděleny OON v plné výši svých požadavků k termínu sběru 19. 2. 2026 (+ případné dodatečné žádosti).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</si>
</sst>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8"/>
      <name val="Arial CE"/>
    </font>
    <font>
      <b/>
      <sz val="8"/>
      <name val="Arial CE"/>
    </font>
    <font>
      <sz val="8"/>
      <color indexed="8"/>
      <name val="Arial CE"/>
    </font>
    <font>
      <b/>
      <sz val="8"/>
      <color indexed="8"/>
      <name val="Arial CE"/>
    </font>
    <font>
      <sz val="8"/>
      <color indexed="8"/>
      <name val="Arial CE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11"/>
      <name val="Calibri"/>
      <family val="2"/>
      <charset val="238"/>
    </font>
    <font>
      <b/>
      <sz val="8"/>
      <color indexed="8"/>
      <name val="Arial CE"/>
      <charset val="238"/>
    </font>
    <font>
      <b/>
      <u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ptos Narrow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164" fontId="17" fillId="0" borderId="0" applyFont="0" applyFill="0" applyBorder="0" applyAlignment="0" applyProtection="0"/>
    <xf numFmtId="0" fontId="17" fillId="0" borderId="0"/>
    <xf numFmtId="0" fontId="7" fillId="0" borderId="0"/>
    <xf numFmtId="0" fontId="12" fillId="0" borderId="0"/>
    <xf numFmtId="0" fontId="6" fillId="0" borderId="0"/>
    <xf numFmtId="0" fontId="39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04">
    <xf numFmtId="0" fontId="0" fillId="0" borderId="0" xfId="0"/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8" fillId="0" borderId="0" xfId="0" applyFont="1"/>
    <xf numFmtId="0" fontId="9" fillId="0" borderId="0" xfId="0" applyFont="1"/>
    <xf numFmtId="0" fontId="11" fillId="0" borderId="0" xfId="0" applyFont="1"/>
    <xf numFmtId="4" fontId="0" fillId="0" borderId="0" xfId="0" applyNumberFormat="1"/>
    <xf numFmtId="3" fontId="0" fillId="0" borderId="0" xfId="0" applyNumberFormat="1"/>
    <xf numFmtId="0" fontId="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4" fontId="9" fillId="0" borderId="1" xfId="0" applyNumberFormat="1" applyFont="1" applyBorder="1"/>
    <xf numFmtId="0" fontId="13" fillId="3" borderId="1" xfId="2" applyFont="1" applyFill="1" applyBorder="1" applyAlignment="1">
      <alignment horizontal="center"/>
    </xf>
    <xf numFmtId="3" fontId="9" fillId="0" borderId="0" xfId="0" applyNumberFormat="1" applyFont="1"/>
    <xf numFmtId="3" fontId="9" fillId="0" borderId="1" xfId="0" applyNumberFormat="1" applyFont="1" applyBorder="1"/>
    <xf numFmtId="0" fontId="14" fillId="3" borderId="1" xfId="0" applyFont="1" applyFill="1" applyBorder="1" applyAlignment="1">
      <alignment horizontal="center"/>
    </xf>
    <xf numFmtId="0" fontId="15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37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3" fontId="22" fillId="0" borderId="8" xfId="0" applyNumberFormat="1" applyFont="1" applyBorder="1"/>
    <xf numFmtId="3" fontId="22" fillId="0" borderId="1" xfId="0" applyNumberFormat="1" applyFont="1" applyBorder="1"/>
    <xf numFmtId="4" fontId="22" fillId="0" borderId="1" xfId="0" applyNumberFormat="1" applyFont="1" applyBorder="1"/>
    <xf numFmtId="3" fontId="22" fillId="0" borderId="11" xfId="0" applyNumberFormat="1" applyFont="1" applyBorder="1"/>
    <xf numFmtId="3" fontId="22" fillId="0" borderId="12" xfId="0" applyNumberFormat="1" applyFont="1" applyBorder="1"/>
    <xf numFmtId="0" fontId="14" fillId="4" borderId="18" xfId="0" applyFont="1" applyFill="1" applyBorder="1" applyAlignment="1">
      <alignment horizontal="center"/>
    </xf>
    <xf numFmtId="3" fontId="22" fillId="0" borderId="4" xfId="0" applyNumberFormat="1" applyFont="1" applyBorder="1"/>
    <xf numFmtId="3" fontId="22" fillId="0" borderId="34" xfId="0" applyNumberFormat="1" applyFont="1" applyBorder="1"/>
    <xf numFmtId="0" fontId="14" fillId="3" borderId="21" xfId="0" applyFont="1" applyFill="1" applyBorder="1" applyAlignment="1">
      <alignment horizontal="center"/>
    </xf>
    <xf numFmtId="3" fontId="16" fillId="4" borderId="18" xfId="0" applyNumberFormat="1" applyFont="1" applyFill="1" applyBorder="1"/>
    <xf numFmtId="4" fontId="16" fillId="4" borderId="18" xfId="0" applyNumberFormat="1" applyFont="1" applyFill="1" applyBorder="1"/>
    <xf numFmtId="0" fontId="13" fillId="2" borderId="20" xfId="2" applyFont="1" applyFill="1" applyBorder="1" applyAlignment="1">
      <alignment horizontal="center" vertical="center" wrapText="1"/>
    </xf>
    <xf numFmtId="3" fontId="22" fillId="0" borderId="27" xfId="0" applyNumberFormat="1" applyFont="1" applyBorder="1"/>
    <xf numFmtId="4" fontId="14" fillId="3" borderId="10" xfId="0" applyNumberFormat="1" applyFont="1" applyFill="1" applyBorder="1"/>
    <xf numFmtId="4" fontId="14" fillId="3" borderId="10" xfId="0" applyNumberFormat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left"/>
    </xf>
    <xf numFmtId="0" fontId="19" fillId="0" borderId="0" xfId="0" applyFont="1"/>
    <xf numFmtId="0" fontId="33" fillId="3" borderId="1" xfId="4" applyFont="1" applyFill="1" applyBorder="1" applyAlignment="1">
      <alignment horizontal="center"/>
    </xf>
    <xf numFmtId="0" fontId="14" fillId="3" borderId="1" xfId="4" applyFont="1" applyFill="1" applyBorder="1" applyAlignment="1">
      <alignment horizontal="center"/>
    </xf>
    <xf numFmtId="0" fontId="35" fillId="3" borderId="1" xfId="4" applyFont="1" applyFill="1" applyBorder="1" applyAlignment="1">
      <alignment horizontal="center"/>
    </xf>
    <xf numFmtId="0" fontId="32" fillId="3" borderId="1" xfId="4" applyFont="1" applyFill="1" applyBorder="1" applyAlignment="1">
      <alignment horizontal="center"/>
    </xf>
    <xf numFmtId="0" fontId="33" fillId="3" borderId="21" xfId="4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37" fillId="0" borderId="0" xfId="5" applyFont="1" applyAlignment="1">
      <alignment horizontal="center"/>
    </xf>
    <xf numFmtId="3" fontId="37" fillId="0" borderId="0" xfId="5" applyNumberFormat="1" applyFont="1"/>
    <xf numFmtId="3" fontId="6" fillId="0" borderId="0" xfId="5" applyNumberFormat="1"/>
    <xf numFmtId="4" fontId="6" fillId="0" borderId="0" xfId="5" applyNumberFormat="1"/>
    <xf numFmtId="0" fontId="37" fillId="0" borderId="0" xfId="5" applyFont="1" applyAlignment="1">
      <alignment horizontal="center" vertical="center"/>
    </xf>
    <xf numFmtId="0" fontId="38" fillId="0" borderId="0" xfId="5" applyFont="1" applyAlignment="1">
      <alignment vertical="center"/>
    </xf>
    <xf numFmtId="0" fontId="38" fillId="0" borderId="17" xfId="5" applyFont="1" applyBorder="1" applyAlignment="1">
      <alignment horizontal="center" vertical="center"/>
    </xf>
    <xf numFmtId="0" fontId="38" fillId="0" borderId="18" xfId="5" applyFont="1" applyBorder="1" applyAlignment="1">
      <alignment horizontal="center" vertical="center"/>
    </xf>
    <xf numFmtId="3" fontId="8" fillId="0" borderId="1" xfId="5" applyNumberFormat="1" applyFont="1" applyBorder="1"/>
    <xf numFmtId="0" fontId="9" fillId="0" borderId="1" xfId="5" applyFont="1" applyBorder="1"/>
    <xf numFmtId="3" fontId="14" fillId="7" borderId="18" xfId="5" applyNumberFormat="1" applyFont="1" applyFill="1" applyBorder="1"/>
    <xf numFmtId="3" fontId="38" fillId="0" borderId="0" xfId="5" applyNumberFormat="1" applyFont="1" applyAlignment="1">
      <alignment horizontal="right"/>
    </xf>
    <xf numFmtId="4" fontId="37" fillId="0" borderId="0" xfId="5" applyNumberFormat="1" applyFont="1"/>
    <xf numFmtId="0" fontId="6" fillId="0" borderId="0" xfId="5"/>
    <xf numFmtId="0" fontId="6" fillId="0" borderId="0" xfId="5" applyAlignment="1">
      <alignment horizontal="center"/>
    </xf>
    <xf numFmtId="0" fontId="26" fillId="0" borderId="0" xfId="5" applyFont="1"/>
    <xf numFmtId="0" fontId="26" fillId="0" borderId="0" xfId="5" applyFont="1" applyAlignment="1">
      <alignment horizontal="center" vertical="center" wrapText="1"/>
    </xf>
    <xf numFmtId="0" fontId="9" fillId="0" borderId="1" xfId="5" applyFont="1" applyBorder="1" applyProtection="1">
      <protection locked="0"/>
    </xf>
    <xf numFmtId="0" fontId="9" fillId="0" borderId="1" xfId="5" applyFont="1" applyBorder="1" applyAlignment="1">
      <alignment horizontal="center"/>
    </xf>
    <xf numFmtId="0" fontId="9" fillId="0" borderId="9" xfId="5" applyFont="1" applyBorder="1"/>
    <xf numFmtId="0" fontId="28" fillId="0" borderId="0" xfId="5" applyFont="1"/>
    <xf numFmtId="0" fontId="15" fillId="3" borderId="1" xfId="5" applyFont="1" applyFill="1" applyBorder="1"/>
    <xf numFmtId="0" fontId="15" fillId="3" borderId="1" xfId="5" applyFont="1" applyFill="1" applyBorder="1" applyProtection="1">
      <protection locked="0"/>
    </xf>
    <xf numFmtId="0" fontId="15" fillId="3" borderId="1" xfId="5" applyFont="1" applyFill="1" applyBorder="1" applyAlignment="1">
      <alignment horizontal="center"/>
    </xf>
    <xf numFmtId="0" fontId="9" fillId="3" borderId="1" xfId="5" applyFont="1" applyFill="1" applyBorder="1"/>
    <xf numFmtId="0" fontId="9" fillId="3" borderId="9" xfId="5" applyFont="1" applyFill="1" applyBorder="1"/>
    <xf numFmtId="0" fontId="9" fillId="2" borderId="1" xfId="5" applyFont="1" applyFill="1" applyBorder="1"/>
    <xf numFmtId="4" fontId="15" fillId="3" borderId="10" xfId="5" applyNumberFormat="1" applyFont="1" applyFill="1" applyBorder="1"/>
    <xf numFmtId="0" fontId="9" fillId="0" borderId="1" xfId="5" applyFont="1" applyBorder="1" applyAlignment="1">
      <alignment wrapText="1"/>
    </xf>
    <xf numFmtId="0" fontId="9" fillId="0" borderId="1" xfId="5" applyFont="1" applyBorder="1" applyAlignment="1">
      <alignment horizontal="center" wrapText="1"/>
    </xf>
    <xf numFmtId="0" fontId="15" fillId="3" borderId="1" xfId="5" applyFont="1" applyFill="1" applyBorder="1" applyAlignment="1">
      <alignment horizontal="center" wrapText="1"/>
    </xf>
    <xf numFmtId="4" fontId="15" fillId="3" borderId="10" xfId="5" applyNumberFormat="1" applyFont="1" applyFill="1" applyBorder="1" applyAlignment="1">
      <alignment horizontal="right"/>
    </xf>
    <xf numFmtId="0" fontId="15" fillId="3" borderId="21" xfId="5" applyFont="1" applyFill="1" applyBorder="1"/>
    <xf numFmtId="0" fontId="15" fillId="3" borderId="21" xfId="5" applyFont="1" applyFill="1" applyBorder="1" applyProtection="1">
      <protection locked="0"/>
    </xf>
    <xf numFmtId="0" fontId="15" fillId="3" borderId="21" xfId="5" applyFont="1" applyFill="1" applyBorder="1" applyAlignment="1">
      <alignment horizontal="center" wrapText="1"/>
    </xf>
    <xf numFmtId="0" fontId="9" fillId="3" borderId="21" xfId="5" applyFont="1" applyFill="1" applyBorder="1"/>
    <xf numFmtId="0" fontId="9" fillId="3" borderId="29" xfId="5" applyFont="1" applyFill="1" applyBorder="1"/>
    <xf numFmtId="0" fontId="28" fillId="0" borderId="0" xfId="5" applyFont="1" applyAlignment="1">
      <alignment horizontal="center"/>
    </xf>
    <xf numFmtId="3" fontId="15" fillId="0" borderId="0" xfId="5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3" fontId="9" fillId="0" borderId="8" xfId="5" applyNumberFormat="1" applyFont="1" applyBorder="1" applyAlignment="1">
      <alignment horizontal="center"/>
    </xf>
    <xf numFmtId="3" fontId="15" fillId="3" borderId="8" xfId="5" applyNumberFormat="1" applyFont="1" applyFill="1" applyBorder="1" applyAlignment="1">
      <alignment horizontal="center"/>
    </xf>
    <xf numFmtId="0" fontId="38" fillId="0" borderId="18" xfId="5" applyFont="1" applyBorder="1" applyAlignment="1">
      <alignment horizontal="center" vertical="center" wrapText="1"/>
    </xf>
    <xf numFmtId="0" fontId="23" fillId="0" borderId="0" xfId="5" applyFont="1"/>
    <xf numFmtId="0" fontId="23" fillId="8" borderId="17" xfId="5" applyFont="1" applyFill="1" applyBorder="1" applyAlignment="1">
      <alignment horizontal="center"/>
    </xf>
    <xf numFmtId="0" fontId="23" fillId="8" borderId="18" xfId="5" applyFont="1" applyFill="1" applyBorder="1" applyAlignment="1">
      <alignment horizontal="center"/>
    </xf>
    <xf numFmtId="0" fontId="23" fillId="8" borderId="20" xfId="5" applyFont="1" applyFill="1" applyBorder="1" applyAlignment="1">
      <alignment horizontal="center"/>
    </xf>
    <xf numFmtId="0" fontId="15" fillId="0" borderId="40" xfId="0" applyFont="1" applyBorder="1" applyAlignment="1">
      <alignment horizontal="left"/>
    </xf>
    <xf numFmtId="3" fontId="16" fillId="4" borderId="17" xfId="0" applyNumberFormat="1" applyFont="1" applyFill="1" applyBorder="1"/>
    <xf numFmtId="4" fontId="22" fillId="0" borderId="12" xfId="0" applyNumberFormat="1" applyFont="1" applyBorder="1"/>
    <xf numFmtId="3" fontId="22" fillId="0" borderId="5" xfId="0" applyNumberFormat="1" applyFont="1" applyBorder="1"/>
    <xf numFmtId="4" fontId="22" fillId="0" borderId="5" xfId="0" applyNumberFormat="1" applyFont="1" applyBorder="1"/>
    <xf numFmtId="4" fontId="16" fillId="4" borderId="20" xfId="0" applyNumberFormat="1" applyFont="1" applyFill="1" applyBorder="1"/>
    <xf numFmtId="3" fontId="16" fillId="4" borderId="22" xfId="0" applyNumberFormat="1" applyFont="1" applyFill="1" applyBorder="1"/>
    <xf numFmtId="3" fontId="22" fillId="0" borderId="38" xfId="0" applyNumberFormat="1" applyFont="1" applyBorder="1"/>
    <xf numFmtId="0" fontId="15" fillId="0" borderId="16" xfId="0" applyFont="1" applyBorder="1" applyAlignment="1">
      <alignment horizontal="left"/>
    </xf>
    <xf numFmtId="0" fontId="14" fillId="3" borderId="1" xfId="2" applyFont="1" applyFill="1" applyBorder="1" applyAlignment="1">
      <alignment horizontal="center"/>
    </xf>
    <xf numFmtId="0" fontId="13" fillId="3" borderId="8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/>
    </xf>
    <xf numFmtId="0" fontId="13" fillId="3" borderId="25" xfId="2" applyFont="1" applyFill="1" applyBorder="1" applyAlignment="1">
      <alignment horizontal="center"/>
    </xf>
    <xf numFmtId="0" fontId="13" fillId="3" borderId="21" xfId="2" applyFont="1" applyFill="1" applyBorder="1" applyAlignment="1">
      <alignment horizontal="center"/>
    </xf>
    <xf numFmtId="0" fontId="14" fillId="3" borderId="21" xfId="2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left"/>
    </xf>
    <xf numFmtId="0" fontId="13" fillId="2" borderId="32" xfId="2" applyFont="1" applyFill="1" applyBorder="1" applyAlignment="1">
      <alignment horizontal="center" vertical="center"/>
    </xf>
    <xf numFmtId="0" fontId="14" fillId="3" borderId="1" xfId="0" applyFont="1" applyFill="1" applyBorder="1"/>
    <xf numFmtId="0" fontId="10" fillId="0" borderId="1" xfId="0" applyFont="1" applyBorder="1" applyAlignment="1">
      <alignment horizontal="left"/>
    </xf>
    <xf numFmtId="0" fontId="14" fillId="3" borderId="21" xfId="4" applyFont="1" applyFill="1" applyBorder="1" applyAlignment="1">
      <alignment horizontal="center"/>
    </xf>
    <xf numFmtId="3" fontId="9" fillId="0" borderId="8" xfId="0" applyNumberFormat="1" applyFont="1" applyBorder="1"/>
    <xf numFmtId="3" fontId="9" fillId="0" borderId="27" xfId="0" applyNumberFormat="1" applyFont="1" applyBorder="1"/>
    <xf numFmtId="4" fontId="9" fillId="0" borderId="9" xfId="0" applyNumberFormat="1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4" fontId="9" fillId="0" borderId="12" xfId="0" applyNumberFormat="1" applyFont="1" applyBorder="1"/>
    <xf numFmtId="3" fontId="9" fillId="0" borderId="38" xfId="0" applyNumberFormat="1" applyFont="1" applyBorder="1"/>
    <xf numFmtId="4" fontId="9" fillId="0" borderId="13" xfId="0" applyNumberFormat="1" applyFont="1" applyBorder="1"/>
    <xf numFmtId="0" fontId="20" fillId="0" borderId="0" xfId="0" applyFont="1" applyAlignment="1">
      <alignment horizontal="left"/>
    </xf>
    <xf numFmtId="0" fontId="33" fillId="3" borderId="9" xfId="4" applyFont="1" applyFill="1" applyBorder="1" applyAlignment="1">
      <alignment horizontal="left"/>
    </xf>
    <xf numFmtId="0" fontId="14" fillId="3" borderId="9" xfId="4" applyFont="1" applyFill="1" applyBorder="1" applyAlignment="1">
      <alignment horizontal="left"/>
    </xf>
    <xf numFmtId="0" fontId="35" fillId="3" borderId="9" xfId="4" applyFont="1" applyFill="1" applyBorder="1" applyAlignment="1">
      <alignment horizontal="left"/>
    </xf>
    <xf numFmtId="0" fontId="32" fillId="3" borderId="9" xfId="4" applyFont="1" applyFill="1" applyBorder="1" applyAlignment="1">
      <alignment horizontal="left"/>
    </xf>
    <xf numFmtId="0" fontId="33" fillId="3" borderId="29" xfId="4" applyFont="1" applyFill="1" applyBorder="1" applyAlignment="1">
      <alignment horizontal="left"/>
    </xf>
    <xf numFmtId="0" fontId="14" fillId="3" borderId="38" xfId="0" applyFont="1" applyFill="1" applyBorder="1" applyAlignment="1" applyProtection="1">
      <alignment horizontal="center"/>
      <protection locked="0"/>
    </xf>
    <xf numFmtId="0" fontId="14" fillId="3" borderId="13" xfId="0" applyFont="1" applyFill="1" applyBorder="1" applyProtection="1">
      <protection locked="0"/>
    </xf>
    <xf numFmtId="0" fontId="8" fillId="0" borderId="1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4" applyFont="1" applyBorder="1"/>
    <xf numFmtId="0" fontId="32" fillId="0" borderId="1" xfId="4" applyFont="1" applyBorder="1" applyAlignment="1">
      <alignment horizontal="center"/>
    </xf>
    <xf numFmtId="0" fontId="15" fillId="3" borderId="8" xfId="4" applyFont="1" applyFill="1" applyBorder="1" applyAlignment="1">
      <alignment horizontal="center"/>
    </xf>
    <xf numFmtId="0" fontId="9" fillId="3" borderId="8" xfId="4" applyFont="1" applyFill="1" applyBorder="1" applyAlignment="1">
      <alignment horizontal="center"/>
    </xf>
    <xf numFmtId="0" fontId="9" fillId="3" borderId="25" xfId="4" applyFont="1" applyFill="1" applyBorder="1" applyAlignment="1">
      <alignment horizontal="center"/>
    </xf>
    <xf numFmtId="0" fontId="38" fillId="0" borderId="18" xfId="5" applyFont="1" applyBorder="1" applyAlignment="1">
      <alignment vertical="center" wrapText="1"/>
    </xf>
    <xf numFmtId="0" fontId="23" fillId="8" borderId="18" xfId="5" applyFont="1" applyFill="1" applyBorder="1"/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5" xfId="2" applyFont="1" applyBorder="1"/>
    <xf numFmtId="0" fontId="12" fillId="0" borderId="0" xfId="0" applyFont="1"/>
    <xf numFmtId="0" fontId="13" fillId="3" borderId="1" xfId="2" applyFont="1" applyFill="1" applyBorder="1"/>
    <xf numFmtId="0" fontId="10" fillId="0" borderId="8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/>
    <xf numFmtId="0" fontId="10" fillId="0" borderId="9" xfId="2" applyFont="1" applyBorder="1"/>
    <xf numFmtId="0" fontId="13" fillId="3" borderId="21" xfId="2" applyFont="1" applyFill="1" applyBorder="1"/>
    <xf numFmtId="0" fontId="13" fillId="4" borderId="17" xfId="2" applyFont="1" applyFill="1" applyBorder="1"/>
    <xf numFmtId="0" fontId="13" fillId="4" borderId="18" xfId="2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left"/>
    </xf>
    <xf numFmtId="0" fontId="14" fillId="3" borderId="21" xfId="0" applyFont="1" applyFill="1" applyBorder="1"/>
    <xf numFmtId="3" fontId="15" fillId="0" borderId="0" xfId="0" applyNumberFormat="1" applyFont="1"/>
    <xf numFmtId="3" fontId="28" fillId="0" borderId="0" xfId="5" applyNumberFormat="1" applyFont="1"/>
    <xf numFmtId="4" fontId="28" fillId="0" borderId="0" xfId="5" applyNumberFormat="1" applyFont="1"/>
    <xf numFmtId="3" fontId="15" fillId="4" borderId="17" xfId="5" applyNumberFormat="1" applyFont="1" applyFill="1" applyBorder="1" applyAlignment="1">
      <alignment horizontal="center"/>
    </xf>
    <xf numFmtId="3" fontId="15" fillId="4" borderId="18" xfId="5" applyNumberFormat="1" applyFont="1" applyFill="1" applyBorder="1"/>
    <xf numFmtId="3" fontId="15" fillId="4" borderId="20" xfId="5" applyNumberFormat="1" applyFont="1" applyFill="1" applyBorder="1"/>
    <xf numFmtId="0" fontId="23" fillId="8" borderId="19" xfId="5" applyFont="1" applyFill="1" applyBorder="1" applyAlignment="1">
      <alignment horizontal="center"/>
    </xf>
    <xf numFmtId="0" fontId="6" fillId="0" borderId="0" xfId="5" applyAlignment="1">
      <alignment horizontal="left"/>
    </xf>
    <xf numFmtId="0" fontId="5" fillId="0" borderId="0" xfId="8" applyAlignment="1">
      <alignment horizontal="center"/>
    </xf>
    <xf numFmtId="0" fontId="5" fillId="0" borderId="0" xfId="9"/>
    <xf numFmtId="0" fontId="5" fillId="0" borderId="0" xfId="8"/>
    <xf numFmtId="0" fontId="37" fillId="0" borderId="0" xfId="8" applyFont="1" applyAlignment="1">
      <alignment horizontal="center"/>
    </xf>
    <xf numFmtId="0" fontId="11" fillId="0" borderId="0" xfId="5" applyFont="1"/>
    <xf numFmtId="0" fontId="20" fillId="0" borderId="0" xfId="5" applyFont="1"/>
    <xf numFmtId="0" fontId="26" fillId="0" borderId="0" xfId="8" applyFont="1" applyAlignment="1">
      <alignment horizontal="center"/>
    </xf>
    <xf numFmtId="0" fontId="26" fillId="0" borderId="0" xfId="8" applyFont="1"/>
    <xf numFmtId="0" fontId="21" fillId="0" borderId="0" xfId="5" applyFont="1" applyAlignment="1">
      <alignment horizontal="left"/>
    </xf>
    <xf numFmtId="0" fontId="21" fillId="0" borderId="0" xfId="5" applyFont="1"/>
    <xf numFmtId="0" fontId="37" fillId="0" borderId="0" xfId="8" applyFont="1" applyAlignment="1">
      <alignment horizontal="center" vertical="center"/>
    </xf>
    <xf numFmtId="0" fontId="38" fillId="0" borderId="0" xfId="8" applyFont="1" applyAlignment="1">
      <alignment vertical="center"/>
    </xf>
    <xf numFmtId="0" fontId="38" fillId="0" borderId="17" xfId="8" applyFont="1" applyBorder="1" applyAlignment="1">
      <alignment horizontal="center" vertical="center"/>
    </xf>
    <xf numFmtId="0" fontId="38" fillId="0" borderId="18" xfId="8" applyFont="1" applyBorder="1" applyAlignment="1">
      <alignment horizontal="center" vertical="center"/>
    </xf>
    <xf numFmtId="0" fontId="38" fillId="0" borderId="18" xfId="8" applyFont="1" applyBorder="1" applyAlignment="1">
      <alignment horizontal="center" vertical="center" wrapText="1"/>
    </xf>
    <xf numFmtId="0" fontId="23" fillId="8" borderId="17" xfId="8" applyFont="1" applyFill="1" applyBorder="1" applyAlignment="1">
      <alignment horizontal="center"/>
    </xf>
    <xf numFmtId="0" fontId="23" fillId="8" borderId="18" xfId="8" applyFont="1" applyFill="1" applyBorder="1" applyAlignment="1">
      <alignment horizontal="center"/>
    </xf>
    <xf numFmtId="0" fontId="23" fillId="8" borderId="20" xfId="8" applyFont="1" applyFill="1" applyBorder="1" applyAlignment="1">
      <alignment horizontal="center"/>
    </xf>
    <xf numFmtId="0" fontId="23" fillId="0" borderId="0" xfId="8" applyFont="1"/>
    <xf numFmtId="0" fontId="28" fillId="0" borderId="4" xfId="9" applyFont="1" applyBorder="1" applyAlignment="1">
      <alignment horizontal="center"/>
    </xf>
    <xf numFmtId="0" fontId="10" fillId="0" borderId="5" xfId="9" applyFont="1" applyBorder="1" applyAlignment="1">
      <alignment horizontal="center"/>
    </xf>
    <xf numFmtId="0" fontId="28" fillId="0" borderId="5" xfId="9" applyFont="1" applyBorder="1" applyAlignment="1">
      <alignment horizontal="center"/>
    </xf>
    <xf numFmtId="0" fontId="8" fillId="0" borderId="34" xfId="9" applyFont="1" applyBorder="1"/>
    <xf numFmtId="0" fontId="10" fillId="0" borderId="6" xfId="9" applyFont="1" applyBorder="1"/>
    <xf numFmtId="0" fontId="25" fillId="3" borderId="8" xfId="9" applyFont="1" applyFill="1" applyBorder="1" applyAlignment="1">
      <alignment horizontal="center"/>
    </xf>
    <xf numFmtId="0" fontId="13" fillId="3" borderId="1" xfId="9" applyFont="1" applyFill="1" applyBorder="1" applyAlignment="1">
      <alignment horizontal="center"/>
    </xf>
    <xf numFmtId="0" fontId="25" fillId="3" borderId="1" xfId="9" applyFont="1" applyFill="1" applyBorder="1" applyAlignment="1">
      <alignment horizontal="center"/>
    </xf>
    <xf numFmtId="0" fontId="13" fillId="3" borderId="27" xfId="9" applyFont="1" applyFill="1" applyBorder="1"/>
    <xf numFmtId="0" fontId="10" fillId="3" borderId="1" xfId="9" applyFont="1" applyFill="1" applyBorder="1" applyAlignment="1">
      <alignment horizontal="center"/>
    </xf>
    <xf numFmtId="0" fontId="10" fillId="3" borderId="9" xfId="9" applyFont="1" applyFill="1" applyBorder="1"/>
    <xf numFmtId="4" fontId="14" fillId="3" borderId="10" xfId="9" applyNumberFormat="1" applyFont="1" applyFill="1" applyBorder="1"/>
    <xf numFmtId="0" fontId="28" fillId="0" borderId="8" xfId="9" applyFont="1" applyBorder="1" applyAlignment="1">
      <alignment horizontal="center"/>
    </xf>
    <xf numFmtId="0" fontId="28" fillId="0" borderId="1" xfId="9" applyFont="1" applyBorder="1" applyAlignment="1">
      <alignment horizontal="center"/>
    </xf>
    <xf numFmtId="0" fontId="27" fillId="0" borderId="54" xfId="9" applyFont="1" applyBorder="1" applyAlignment="1">
      <alignment horizontal="center"/>
    </xf>
    <xf numFmtId="0" fontId="28" fillId="0" borderId="27" xfId="9" applyFont="1" applyBorder="1"/>
    <xf numFmtId="0" fontId="28" fillId="0" borderId="9" xfId="9" applyFont="1" applyBorder="1"/>
    <xf numFmtId="0" fontId="28" fillId="0" borderId="9" xfId="9" applyFont="1" applyBorder="1" applyAlignment="1">
      <alignment horizontal="left"/>
    </xf>
    <xf numFmtId="0" fontId="10" fillId="0" borderId="9" xfId="5" applyFont="1" applyBorder="1" applyAlignment="1">
      <alignment horizontal="left"/>
    </xf>
    <xf numFmtId="0" fontId="29" fillId="3" borderId="54" xfId="9" applyFont="1" applyFill="1" applyBorder="1" applyAlignment="1">
      <alignment horizontal="center"/>
    </xf>
    <xf numFmtId="0" fontId="25" fillId="3" borderId="27" xfId="9" applyFont="1" applyFill="1" applyBorder="1"/>
    <xf numFmtId="0" fontId="25" fillId="3" borderId="9" xfId="9" applyFont="1" applyFill="1" applyBorder="1"/>
    <xf numFmtId="4" fontId="25" fillId="3" borderId="10" xfId="9" applyNumberFormat="1" applyFont="1" applyFill="1" applyBorder="1"/>
    <xf numFmtId="0" fontId="28" fillId="3" borderId="1" xfId="9" applyFont="1" applyFill="1" applyBorder="1" applyAlignment="1">
      <alignment horizontal="center"/>
    </xf>
    <xf numFmtId="0" fontId="28" fillId="3" borderId="9" xfId="9" applyFont="1" applyFill="1" applyBorder="1"/>
    <xf numFmtId="0" fontId="10" fillId="0" borderId="9" xfId="9" applyFont="1" applyBorder="1"/>
    <xf numFmtId="0" fontId="25" fillId="3" borderId="28" xfId="9" applyFont="1" applyFill="1" applyBorder="1"/>
    <xf numFmtId="0" fontId="28" fillId="3" borderId="21" xfId="9" applyFont="1" applyFill="1" applyBorder="1" applyAlignment="1">
      <alignment horizontal="center"/>
    </xf>
    <xf numFmtId="0" fontId="28" fillId="3" borderId="29" xfId="9" applyFont="1" applyFill="1" applyBorder="1"/>
    <xf numFmtId="0" fontId="28" fillId="0" borderId="28" xfId="9" applyFont="1" applyBorder="1"/>
    <xf numFmtId="0" fontId="28" fillId="0" borderId="21" xfId="9" applyFont="1" applyBorder="1" applyAlignment="1">
      <alignment horizontal="center"/>
    </xf>
    <xf numFmtId="0" fontId="28" fillId="0" borderId="29" xfId="9" applyFont="1" applyBorder="1"/>
    <xf numFmtId="0" fontId="25" fillId="3" borderId="25" xfId="9" applyFont="1" applyFill="1" applyBorder="1" applyAlignment="1">
      <alignment horizontal="center"/>
    </xf>
    <xf numFmtId="0" fontId="25" fillId="3" borderId="21" xfId="9" applyFont="1" applyFill="1" applyBorder="1" applyAlignment="1">
      <alignment horizontal="center"/>
    </xf>
    <xf numFmtId="0" fontId="30" fillId="5" borderId="17" xfId="9" applyFont="1" applyFill="1" applyBorder="1" applyAlignment="1">
      <alignment horizontal="center"/>
    </xf>
    <xf numFmtId="0" fontId="5" fillId="5" borderId="18" xfId="9" applyFill="1" applyBorder="1"/>
    <xf numFmtId="0" fontId="5" fillId="5" borderId="18" xfId="9" applyFill="1" applyBorder="1" applyAlignment="1">
      <alignment horizontal="center"/>
    </xf>
    <xf numFmtId="3" fontId="14" fillId="7" borderId="18" xfId="8" applyNumberFormat="1" applyFont="1" applyFill="1" applyBorder="1"/>
    <xf numFmtId="0" fontId="5" fillId="5" borderId="20" xfId="9" applyFill="1" applyBorder="1"/>
    <xf numFmtId="0" fontId="5" fillId="5" borderId="39" xfId="9" applyFill="1" applyBorder="1"/>
    <xf numFmtId="0" fontId="27" fillId="0" borderId="0" xfId="9" applyFont="1" applyAlignment="1">
      <alignment horizontal="center"/>
    </xf>
    <xf numFmtId="0" fontId="5" fillId="0" borderId="0" xfId="9" applyAlignment="1">
      <alignment horizontal="center"/>
    </xf>
    <xf numFmtId="0" fontId="15" fillId="0" borderId="0" xfId="9" applyFont="1"/>
    <xf numFmtId="0" fontId="9" fillId="0" borderId="0" xfId="5" applyFont="1" applyAlignment="1">
      <alignment horizontal="center"/>
    </xf>
    <xf numFmtId="0" fontId="9" fillId="0" borderId="0" xfId="5" applyFont="1"/>
    <xf numFmtId="0" fontId="9" fillId="0" borderId="0" xfId="5" applyFont="1" applyAlignment="1">
      <alignment horizontal="left"/>
    </xf>
    <xf numFmtId="3" fontId="5" fillId="0" borderId="0" xfId="9" applyNumberFormat="1"/>
    <xf numFmtId="4" fontId="5" fillId="0" borderId="0" xfId="9" applyNumberFormat="1"/>
    <xf numFmtId="0" fontId="26" fillId="0" borderId="0" xfId="9" applyFont="1"/>
    <xf numFmtId="0" fontId="9" fillId="0" borderId="5" xfId="9" applyFont="1" applyBorder="1" applyAlignment="1">
      <alignment horizontal="center"/>
    </xf>
    <xf numFmtId="1" fontId="9" fillId="0" borderId="5" xfId="9" applyNumberFormat="1" applyFont="1" applyBorder="1" applyAlignment="1">
      <alignment horizontal="center"/>
    </xf>
    <xf numFmtId="0" fontId="28" fillId="0" borderId="5" xfId="9" applyFont="1" applyBorder="1"/>
    <xf numFmtId="0" fontId="28" fillId="0" borderId="6" xfId="9" applyFont="1" applyBorder="1"/>
    <xf numFmtId="0" fontId="9" fillId="0" borderId="1" xfId="9" applyFont="1" applyBorder="1" applyAlignment="1">
      <alignment horizontal="center"/>
    </xf>
    <xf numFmtId="1" fontId="9" fillId="0" borderId="1" xfId="9" applyNumberFormat="1" applyFont="1" applyBorder="1" applyAlignment="1">
      <alignment horizontal="center"/>
    </xf>
    <xf numFmtId="0" fontId="28" fillId="0" borderId="1" xfId="9" applyFont="1" applyBorder="1"/>
    <xf numFmtId="0" fontId="15" fillId="3" borderId="8" xfId="9" applyFont="1" applyFill="1" applyBorder="1" applyAlignment="1">
      <alignment horizontal="center"/>
    </xf>
    <xf numFmtId="0" fontId="15" fillId="3" borderId="1" xfId="9" applyFont="1" applyFill="1" applyBorder="1" applyAlignment="1">
      <alignment horizontal="center"/>
    </xf>
    <xf numFmtId="1" fontId="15" fillId="3" borderId="1" xfId="9" applyNumberFormat="1" applyFont="1" applyFill="1" applyBorder="1" applyAlignment="1">
      <alignment horizontal="center"/>
    </xf>
    <xf numFmtId="0" fontId="25" fillId="3" borderId="1" xfId="9" applyFont="1" applyFill="1" applyBorder="1"/>
    <xf numFmtId="4" fontId="15" fillId="3" borderId="10" xfId="9" applyNumberFormat="1" applyFont="1" applyFill="1" applyBorder="1"/>
    <xf numFmtId="0" fontId="28" fillId="3" borderId="1" xfId="9" applyFont="1" applyFill="1" applyBorder="1"/>
    <xf numFmtId="1" fontId="28" fillId="0" borderId="1" xfId="9" applyNumberFormat="1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1" fontId="9" fillId="3" borderId="1" xfId="9" applyNumberFormat="1" applyFont="1" applyFill="1" applyBorder="1" applyAlignment="1">
      <alignment horizontal="center"/>
    </xf>
    <xf numFmtId="4" fontId="15" fillId="3" borderId="10" xfId="9" applyNumberFormat="1" applyFont="1" applyFill="1" applyBorder="1" applyAlignment="1">
      <alignment horizontal="right"/>
    </xf>
    <xf numFmtId="1" fontId="27" fillId="0" borderId="1" xfId="9" applyNumberFormat="1" applyFont="1" applyBorder="1" applyAlignment="1">
      <alignment horizontal="center"/>
    </xf>
    <xf numFmtId="0" fontId="15" fillId="3" borderId="25" xfId="9" applyFont="1" applyFill="1" applyBorder="1" applyAlignment="1">
      <alignment horizontal="center"/>
    </xf>
    <xf numFmtId="0" fontId="15" fillId="3" borderId="21" xfId="9" applyFont="1" applyFill="1" applyBorder="1" applyAlignment="1">
      <alignment horizontal="center"/>
    </xf>
    <xf numFmtId="1" fontId="15" fillId="3" borderId="21" xfId="9" applyNumberFormat="1" applyFont="1" applyFill="1" applyBorder="1" applyAlignment="1">
      <alignment horizontal="center"/>
    </xf>
    <xf numFmtId="0" fontId="25" fillId="3" borderId="21" xfId="9" applyFont="1" applyFill="1" applyBorder="1"/>
    <xf numFmtId="0" fontId="28" fillId="3" borderId="21" xfId="9" applyFont="1" applyFill="1" applyBorder="1"/>
    <xf numFmtId="0" fontId="27" fillId="5" borderId="17" xfId="9" applyFont="1" applyFill="1" applyBorder="1" applyAlignment="1">
      <alignment horizontal="center"/>
    </xf>
    <xf numFmtId="1" fontId="5" fillId="5" borderId="18" xfId="9" applyNumberFormat="1" applyFill="1" applyBorder="1" applyAlignment="1">
      <alignment horizontal="center"/>
    </xf>
    <xf numFmtId="1" fontId="5" fillId="0" borderId="0" xfId="9" applyNumberFormat="1" applyAlignment="1">
      <alignment horizontal="center"/>
    </xf>
    <xf numFmtId="0" fontId="9" fillId="0" borderId="34" xfId="9" applyFont="1" applyBorder="1"/>
    <xf numFmtId="0" fontId="9" fillId="0" borderId="6" xfId="9" applyFont="1" applyBorder="1"/>
    <xf numFmtId="0" fontId="9" fillId="0" borderId="9" xfId="9" applyFont="1" applyBorder="1"/>
    <xf numFmtId="1" fontId="25" fillId="3" borderId="1" xfId="9" applyNumberFormat="1" applyFont="1" applyFill="1" applyBorder="1" applyAlignment="1">
      <alignment horizontal="center"/>
    </xf>
    <xf numFmtId="0" fontId="15" fillId="3" borderId="9" xfId="9" applyFont="1" applyFill="1" applyBorder="1" applyAlignment="1">
      <alignment horizontal="left"/>
    </xf>
    <xf numFmtId="0" fontId="9" fillId="0" borderId="27" xfId="9" applyFont="1" applyBorder="1"/>
    <xf numFmtId="0" fontId="15" fillId="3" borderId="27" xfId="9" applyFont="1" applyFill="1" applyBorder="1"/>
    <xf numFmtId="0" fontId="15" fillId="3" borderId="9" xfId="9" applyFont="1" applyFill="1" applyBorder="1"/>
    <xf numFmtId="4" fontId="14" fillId="3" borderId="10" xfId="9" applyNumberFormat="1" applyFont="1" applyFill="1" applyBorder="1" applyAlignment="1">
      <alignment horizontal="right"/>
    </xf>
    <xf numFmtId="0" fontId="9" fillId="3" borderId="1" xfId="9" applyFont="1" applyFill="1" applyBorder="1" applyAlignment="1">
      <alignment horizontal="center"/>
    </xf>
    <xf numFmtId="0" fontId="9" fillId="3" borderId="9" xfId="9" applyFont="1" applyFill="1" applyBorder="1"/>
    <xf numFmtId="0" fontId="15" fillId="3" borderId="28" xfId="9" applyFont="1" applyFill="1" applyBorder="1"/>
    <xf numFmtId="0" fontId="31" fillId="7" borderId="17" xfId="9" applyFont="1" applyFill="1" applyBorder="1" applyAlignment="1">
      <alignment horizontal="center"/>
    </xf>
    <xf numFmtId="0" fontId="14" fillId="7" borderId="18" xfId="9" applyFont="1" applyFill="1" applyBorder="1" applyAlignment="1">
      <alignment horizontal="center"/>
    </xf>
    <xf numFmtId="1" fontId="14" fillId="7" borderId="18" xfId="9" applyNumberFormat="1" applyFont="1" applyFill="1" applyBorder="1" applyAlignment="1">
      <alignment horizontal="center"/>
    </xf>
    <xf numFmtId="1" fontId="23" fillId="0" borderId="0" xfId="9" applyNumberFormat="1" applyFont="1" applyAlignment="1">
      <alignment horizontal="center"/>
    </xf>
    <xf numFmtId="1" fontId="23" fillId="0" borderId="0" xfId="9" applyNumberFormat="1" applyFont="1"/>
    <xf numFmtId="0" fontId="15" fillId="0" borderId="0" xfId="5" applyFont="1" applyAlignment="1">
      <alignment horizontal="center"/>
    </xf>
    <xf numFmtId="0" fontId="28" fillId="0" borderId="0" xfId="8" applyFont="1" applyAlignment="1">
      <alignment horizontal="center"/>
    </xf>
    <xf numFmtId="0" fontId="25" fillId="0" borderId="0" xfId="8" applyFont="1" applyAlignment="1">
      <alignment horizontal="center"/>
    </xf>
    <xf numFmtId="0" fontId="25" fillId="0" borderId="17" xfId="8" applyFont="1" applyBorder="1" applyAlignment="1">
      <alignment horizontal="center" vertical="center"/>
    </xf>
    <xf numFmtId="0" fontId="28" fillId="8" borderId="17" xfId="8" applyFont="1" applyFill="1" applyBorder="1" applyAlignment="1">
      <alignment horizontal="center"/>
    </xf>
    <xf numFmtId="0" fontId="8" fillId="0" borderId="5" xfId="9" applyFont="1" applyBorder="1"/>
    <xf numFmtId="0" fontId="10" fillId="0" borderId="5" xfId="9" applyFont="1" applyBorder="1"/>
    <xf numFmtId="0" fontId="28" fillId="0" borderId="6" xfId="9" applyFont="1" applyBorder="1" applyAlignment="1">
      <alignment horizontal="left"/>
    </xf>
    <xf numFmtId="0" fontId="10" fillId="0" borderId="1" xfId="9" applyFont="1" applyBorder="1" applyAlignment="1">
      <alignment horizontal="center"/>
    </xf>
    <xf numFmtId="0" fontId="8" fillId="0" borderId="1" xfId="9" applyFont="1" applyBorder="1"/>
    <xf numFmtId="0" fontId="32" fillId="0" borderId="1" xfId="4" applyFont="1" applyBorder="1"/>
    <xf numFmtId="0" fontId="10" fillId="0" borderId="1" xfId="9" applyFont="1" applyBorder="1"/>
    <xf numFmtId="0" fontId="33" fillId="3" borderId="1" xfId="4" applyFont="1" applyFill="1" applyBorder="1"/>
    <xf numFmtId="4" fontId="13" fillId="3" borderId="10" xfId="9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center"/>
    </xf>
    <xf numFmtId="0" fontId="8" fillId="0" borderId="9" xfId="4" applyFont="1" applyBorder="1" applyAlignment="1">
      <alignment horizontal="left"/>
    </xf>
    <xf numFmtId="0" fontId="14" fillId="3" borderId="1" xfId="4" applyFont="1" applyFill="1" applyBorder="1"/>
    <xf numFmtId="4" fontId="13" fillId="3" borderId="10" xfId="9" applyNumberFormat="1" applyFont="1" applyFill="1" applyBorder="1"/>
    <xf numFmtId="0" fontId="34" fillId="0" borderId="1" xfId="4" applyFont="1" applyBorder="1"/>
    <xf numFmtId="0" fontId="34" fillId="0" borderId="1" xfId="4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14" fillId="3" borderId="1" xfId="9" applyFont="1" applyFill="1" applyBorder="1"/>
    <xf numFmtId="0" fontId="14" fillId="3" borderId="1" xfId="9" applyFont="1" applyFill="1" applyBorder="1" applyAlignment="1">
      <alignment horizontal="center"/>
    </xf>
    <xf numFmtId="0" fontId="14" fillId="3" borderId="9" xfId="9" applyFont="1" applyFill="1" applyBorder="1" applyAlignment="1">
      <alignment horizontal="left"/>
    </xf>
    <xf numFmtId="0" fontId="35" fillId="3" borderId="1" xfId="4" applyFont="1" applyFill="1" applyBorder="1"/>
    <xf numFmtId="0" fontId="32" fillId="3" borderId="1" xfId="4" applyFont="1" applyFill="1" applyBorder="1"/>
    <xf numFmtId="0" fontId="8" fillId="3" borderId="1" xfId="9" applyFont="1" applyFill="1" applyBorder="1" applyAlignment="1">
      <alignment horizontal="center"/>
    </xf>
    <xf numFmtId="0" fontId="36" fillId="0" borderId="1" xfId="4" applyFont="1" applyBorder="1"/>
    <xf numFmtId="0" fontId="33" fillId="3" borderId="21" xfId="4" applyFont="1" applyFill="1" applyBorder="1"/>
    <xf numFmtId="0" fontId="9" fillId="7" borderId="17" xfId="9" applyFont="1" applyFill="1" applyBorder="1" applyAlignment="1">
      <alignment horizontal="center"/>
    </xf>
    <xf numFmtId="0" fontId="8" fillId="7" borderId="18" xfId="9" applyFont="1" applyFill="1" applyBorder="1" applyAlignment="1">
      <alignment horizontal="center"/>
    </xf>
    <xf numFmtId="0" fontId="8" fillId="7" borderId="18" xfId="9" applyFont="1" applyFill="1" applyBorder="1"/>
    <xf numFmtId="0" fontId="8" fillId="7" borderId="20" xfId="9" applyFont="1" applyFill="1" applyBorder="1" applyAlignment="1">
      <alignment horizontal="left"/>
    </xf>
    <xf numFmtId="0" fontId="28" fillId="0" borderId="0" xfId="9" applyFont="1" applyAlignment="1">
      <alignment horizontal="center"/>
    </xf>
    <xf numFmtId="0" fontId="5" fillId="0" borderId="0" xfId="9" applyAlignment="1">
      <alignment horizontal="left"/>
    </xf>
    <xf numFmtId="0" fontId="15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3" fontId="37" fillId="0" borderId="0" xfId="5" applyNumberFormat="1" applyFont="1" applyAlignment="1">
      <alignment horizontal="center"/>
    </xf>
    <xf numFmtId="3" fontId="37" fillId="0" borderId="1" xfId="5" applyNumberFormat="1" applyFont="1" applyBorder="1"/>
    <xf numFmtId="4" fontId="37" fillId="0" borderId="1" xfId="5" applyNumberFormat="1" applyFont="1" applyBorder="1"/>
    <xf numFmtId="3" fontId="9" fillId="0" borderId="1" xfId="5" applyNumberFormat="1" applyFont="1" applyBorder="1"/>
    <xf numFmtId="4" fontId="9" fillId="0" borderId="1" xfId="5" applyNumberFormat="1" applyFont="1" applyBorder="1"/>
    <xf numFmtId="3" fontId="9" fillId="0" borderId="8" xfId="5" applyNumberFormat="1" applyFont="1" applyBorder="1"/>
    <xf numFmtId="3" fontId="38" fillId="0" borderId="0" xfId="5" applyNumberFormat="1" applyFont="1"/>
    <xf numFmtId="4" fontId="38" fillId="0" borderId="0" xfId="5" applyNumberFormat="1" applyFont="1"/>
    <xf numFmtId="3" fontId="15" fillId="0" borderId="0" xfId="5" applyNumberFormat="1" applyFont="1"/>
    <xf numFmtId="3" fontId="9" fillId="0" borderId="0" xfId="5" applyNumberFormat="1" applyFont="1"/>
    <xf numFmtId="3" fontId="8" fillId="0" borderId="0" xfId="5" applyNumberFormat="1" applyFont="1"/>
    <xf numFmtId="4" fontId="9" fillId="0" borderId="0" xfId="5" applyNumberFormat="1" applyFont="1"/>
    <xf numFmtId="3" fontId="15" fillId="3" borderId="1" xfId="5" applyNumberFormat="1" applyFont="1" applyFill="1" applyBorder="1"/>
    <xf numFmtId="4" fontId="15" fillId="3" borderId="1" xfId="5" applyNumberFormat="1" applyFont="1" applyFill="1" applyBorder="1"/>
    <xf numFmtId="3" fontId="15" fillId="3" borderId="1" xfId="5" applyNumberFormat="1" applyFont="1" applyFill="1" applyBorder="1" applyAlignment="1">
      <alignment horizontal="right"/>
    </xf>
    <xf numFmtId="4" fontId="15" fillId="3" borderId="1" xfId="5" applyNumberFormat="1" applyFont="1" applyFill="1" applyBorder="1" applyAlignment="1">
      <alignment horizontal="right"/>
    </xf>
    <xf numFmtId="0" fontId="15" fillId="0" borderId="53" xfId="0" applyFont="1" applyBorder="1" applyAlignment="1">
      <alignment horizontal="left"/>
    </xf>
    <xf numFmtId="0" fontId="15" fillId="0" borderId="57" xfId="0" applyFont="1" applyBorder="1" applyAlignment="1">
      <alignment horizontal="left"/>
    </xf>
    <xf numFmtId="4" fontId="13" fillId="3" borderId="10" xfId="2" applyNumberFormat="1" applyFont="1" applyFill="1" applyBorder="1"/>
    <xf numFmtId="3" fontId="14" fillId="3" borderId="1" xfId="0" applyNumberFormat="1" applyFont="1" applyFill="1" applyBorder="1" applyAlignment="1">
      <alignment horizontal="right"/>
    </xf>
    <xf numFmtId="4" fontId="14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/>
    <xf numFmtId="4" fontId="14" fillId="3" borderId="1" xfId="0" applyNumberFormat="1" applyFont="1" applyFill="1" applyBorder="1"/>
    <xf numFmtId="3" fontId="14" fillId="3" borderId="27" xfId="0" applyNumberFormat="1" applyFont="1" applyFill="1" applyBorder="1" applyAlignment="1">
      <alignment horizontal="right"/>
    </xf>
    <xf numFmtId="3" fontId="14" fillId="3" borderId="27" xfId="0" applyNumberFormat="1" applyFont="1" applyFill="1" applyBorder="1"/>
    <xf numFmtId="3" fontId="14" fillId="3" borderId="21" xfId="0" applyNumberFormat="1" applyFont="1" applyFill="1" applyBorder="1" applyAlignment="1">
      <alignment horizontal="right"/>
    </xf>
    <xf numFmtId="4" fontId="14" fillId="3" borderId="21" xfId="0" applyNumberFormat="1" applyFont="1" applyFill="1" applyBorder="1" applyAlignment="1">
      <alignment horizontal="right"/>
    </xf>
    <xf numFmtId="3" fontId="14" fillId="4" borderId="17" xfId="0" applyNumberFormat="1" applyFont="1" applyFill="1" applyBorder="1" applyAlignment="1">
      <alignment horizontal="right"/>
    </xf>
    <xf numFmtId="3" fontId="14" fillId="4" borderId="22" xfId="0" applyNumberFormat="1" applyFont="1" applyFill="1" applyBorder="1" applyAlignment="1">
      <alignment horizontal="right"/>
    </xf>
    <xf numFmtId="3" fontId="14" fillId="3" borderId="1" xfId="9" applyNumberFormat="1" applyFont="1" applyFill="1" applyBorder="1"/>
    <xf numFmtId="4" fontId="14" fillId="3" borderId="1" xfId="9" applyNumberFormat="1" applyFont="1" applyFill="1" applyBorder="1"/>
    <xf numFmtId="3" fontId="25" fillId="3" borderId="1" xfId="9" applyNumberFormat="1" applyFont="1" applyFill="1" applyBorder="1"/>
    <xf numFmtId="4" fontId="25" fillId="3" borderId="1" xfId="9" applyNumberFormat="1" applyFont="1" applyFill="1" applyBorder="1"/>
    <xf numFmtId="3" fontId="15" fillId="3" borderId="1" xfId="9" applyNumberFormat="1" applyFont="1" applyFill="1" applyBorder="1"/>
    <xf numFmtId="4" fontId="15" fillId="3" borderId="1" xfId="9" applyNumberFormat="1" applyFont="1" applyFill="1" applyBorder="1"/>
    <xf numFmtId="3" fontId="15" fillId="3" borderId="1" xfId="9" applyNumberFormat="1" applyFont="1" applyFill="1" applyBorder="1" applyAlignment="1">
      <alignment horizontal="right"/>
    </xf>
    <xf numFmtId="4" fontId="15" fillId="3" borderId="1" xfId="9" applyNumberFormat="1" applyFont="1" applyFill="1" applyBorder="1" applyAlignment="1">
      <alignment horizontal="right"/>
    </xf>
    <xf numFmtId="0" fontId="15" fillId="0" borderId="61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3" fontId="14" fillId="3" borderId="1" xfId="9" applyNumberFormat="1" applyFont="1" applyFill="1" applyBorder="1" applyAlignment="1">
      <alignment horizontal="right"/>
    </xf>
    <xf numFmtId="4" fontId="14" fillId="3" borderId="1" xfId="9" applyNumberFormat="1" applyFont="1" applyFill="1" applyBorder="1" applyAlignment="1">
      <alignment horizontal="right"/>
    </xf>
    <xf numFmtId="3" fontId="14" fillId="7" borderId="17" xfId="9" applyNumberFormat="1" applyFont="1" applyFill="1" applyBorder="1"/>
    <xf numFmtId="3" fontId="14" fillId="7" borderId="18" xfId="9" applyNumberFormat="1" applyFont="1" applyFill="1" applyBorder="1"/>
    <xf numFmtId="4" fontId="14" fillId="7" borderId="18" xfId="9" applyNumberFormat="1" applyFont="1" applyFill="1" applyBorder="1"/>
    <xf numFmtId="3" fontId="13" fillId="3" borderId="1" xfId="9" applyNumberFormat="1" applyFont="1" applyFill="1" applyBorder="1" applyAlignment="1">
      <alignment horizontal="right"/>
    </xf>
    <xf numFmtId="4" fontId="13" fillId="3" borderId="1" xfId="9" applyNumberFormat="1" applyFont="1" applyFill="1" applyBorder="1" applyAlignment="1">
      <alignment horizontal="right"/>
    </xf>
    <xf numFmtId="3" fontId="13" fillId="3" borderId="1" xfId="9" applyNumberFormat="1" applyFont="1" applyFill="1" applyBorder="1"/>
    <xf numFmtId="4" fontId="13" fillId="3" borderId="1" xfId="9" applyNumberFormat="1" applyFont="1" applyFill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34" xfId="0" applyNumberFormat="1" applyFont="1" applyBorder="1"/>
    <xf numFmtId="4" fontId="9" fillId="0" borderId="5" xfId="0" applyNumberFormat="1" applyFont="1" applyBorder="1"/>
    <xf numFmtId="4" fontId="9" fillId="0" borderId="6" xfId="0" applyNumberFormat="1" applyFont="1" applyBorder="1"/>
    <xf numFmtId="3" fontId="15" fillId="3" borderId="12" xfId="5" applyNumberFormat="1" applyFont="1" applyFill="1" applyBorder="1"/>
    <xf numFmtId="3" fontId="25" fillId="3" borderId="12" xfId="9" applyNumberFormat="1" applyFont="1" applyFill="1" applyBorder="1"/>
    <xf numFmtId="4" fontId="25" fillId="3" borderId="12" xfId="9" applyNumberFormat="1" applyFont="1" applyFill="1" applyBorder="1"/>
    <xf numFmtId="3" fontId="13" fillId="3" borderId="1" xfId="2" applyNumberFormat="1" applyFont="1" applyFill="1" applyBorder="1"/>
    <xf numFmtId="3" fontId="15" fillId="0" borderId="0" xfId="0" applyNumberFormat="1" applyFont="1" applyAlignment="1">
      <alignment horizontal="left" vertical="center" wrapText="1"/>
    </xf>
    <xf numFmtId="3" fontId="41" fillId="0" borderId="0" xfId="0" applyNumberFormat="1" applyFont="1" applyAlignment="1">
      <alignment horizontal="left" vertical="center" wrapText="1"/>
    </xf>
    <xf numFmtId="4" fontId="15" fillId="0" borderId="0" xfId="5" applyNumberFormat="1" applyFont="1"/>
    <xf numFmtId="3" fontId="37" fillId="0" borderId="27" xfId="5" applyNumberFormat="1" applyFont="1" applyBorder="1"/>
    <xf numFmtId="4" fontId="25" fillId="3" borderId="14" xfId="9" applyNumberFormat="1" applyFont="1" applyFill="1" applyBorder="1"/>
    <xf numFmtId="3" fontId="14" fillId="3" borderId="12" xfId="9" applyNumberFormat="1" applyFont="1" applyFill="1" applyBorder="1"/>
    <xf numFmtId="4" fontId="14" fillId="3" borderId="12" xfId="9" applyNumberFormat="1" applyFont="1" applyFill="1" applyBorder="1"/>
    <xf numFmtId="4" fontId="14" fillId="3" borderId="14" xfId="9" applyNumberFormat="1" applyFont="1" applyFill="1" applyBorder="1"/>
    <xf numFmtId="3" fontId="28" fillId="0" borderId="0" xfId="5" applyNumberFormat="1" applyFont="1" applyAlignment="1">
      <alignment horizontal="center"/>
    </xf>
    <xf numFmtId="0" fontId="9" fillId="0" borderId="1" xfId="0" applyFont="1" applyBorder="1" applyProtection="1">
      <protection locked="0"/>
    </xf>
    <xf numFmtId="0" fontId="15" fillId="3" borderId="1" xfId="0" applyFont="1" applyFill="1" applyBorder="1" applyProtection="1">
      <protection locked="0"/>
    </xf>
    <xf numFmtId="0" fontId="44" fillId="0" borderId="0" xfId="5" applyFont="1" applyAlignment="1">
      <alignment horizontal="left"/>
    </xf>
    <xf numFmtId="0" fontId="44" fillId="0" borderId="0" xfId="5" applyFont="1" applyAlignment="1">
      <alignment horizontal="center"/>
    </xf>
    <xf numFmtId="0" fontId="44" fillId="0" borderId="0" xfId="5" applyFont="1" applyAlignment="1">
      <alignment horizontal="right"/>
    </xf>
    <xf numFmtId="0" fontId="27" fillId="0" borderId="1" xfId="9" applyFont="1" applyBorder="1" applyAlignment="1">
      <alignment horizontal="center"/>
    </xf>
    <xf numFmtId="0" fontId="25" fillId="3" borderId="4" xfId="9" applyFont="1" applyFill="1" applyBorder="1" applyAlignment="1">
      <alignment horizontal="center"/>
    </xf>
    <xf numFmtId="0" fontId="25" fillId="3" borderId="5" xfId="9" applyFont="1" applyFill="1" applyBorder="1" applyAlignment="1">
      <alignment horizontal="center"/>
    </xf>
    <xf numFmtId="0" fontId="29" fillId="3" borderId="63" xfId="9" applyFont="1" applyFill="1" applyBorder="1" applyAlignment="1">
      <alignment horizontal="center"/>
    </xf>
    <xf numFmtId="0" fontId="25" fillId="3" borderId="34" xfId="9" applyFont="1" applyFill="1" applyBorder="1"/>
    <xf numFmtId="4" fontId="13" fillId="3" borderId="1" xfId="2" applyNumberFormat="1" applyFont="1" applyFill="1" applyBorder="1"/>
    <xf numFmtId="0" fontId="9" fillId="0" borderId="1" xfId="5" applyFont="1" applyBorder="1" applyAlignment="1">
      <alignment horizontal="left"/>
    </xf>
    <xf numFmtId="0" fontId="9" fillId="2" borderId="1" xfId="5" applyFont="1" applyFill="1" applyBorder="1" applyAlignment="1">
      <alignment horizontal="left"/>
    </xf>
    <xf numFmtId="3" fontId="15" fillId="6" borderId="62" xfId="5" applyNumberFormat="1" applyFont="1" applyFill="1" applyBorder="1"/>
    <xf numFmtId="4" fontId="13" fillId="4" borderId="18" xfId="2" applyNumberFormat="1" applyFont="1" applyFill="1" applyBorder="1"/>
    <xf numFmtId="4" fontId="13" fillId="4" borderId="19" xfId="2" applyNumberFormat="1" applyFont="1" applyFill="1" applyBorder="1"/>
    <xf numFmtId="0" fontId="13" fillId="4" borderId="20" xfId="2" applyFont="1" applyFill="1" applyBorder="1"/>
    <xf numFmtId="3" fontId="13" fillId="4" borderId="18" xfId="2" applyNumberFormat="1" applyFont="1" applyFill="1" applyBorder="1"/>
    <xf numFmtId="3" fontId="25" fillId="5" borderId="62" xfId="9" applyNumberFormat="1" applyFont="1" applyFill="1" applyBorder="1"/>
    <xf numFmtId="0" fontId="13" fillId="3" borderId="9" xfId="2" applyFont="1" applyFill="1" applyBorder="1"/>
    <xf numFmtId="0" fontId="13" fillId="3" borderId="29" xfId="2" applyFont="1" applyFill="1" applyBorder="1"/>
    <xf numFmtId="3" fontId="14" fillId="7" borderId="22" xfId="9" applyNumberFormat="1" applyFont="1" applyFill="1" applyBorder="1"/>
    <xf numFmtId="3" fontId="37" fillId="0" borderId="5" xfId="5" applyNumberFormat="1" applyFont="1" applyBorder="1"/>
    <xf numFmtId="4" fontId="25" fillId="5" borderId="62" xfId="9" applyNumberFormat="1" applyFont="1" applyFill="1" applyBorder="1"/>
    <xf numFmtId="4" fontId="41" fillId="0" borderId="0" xfId="0" applyNumberFormat="1" applyFont="1" applyAlignment="1">
      <alignment horizontal="left" vertical="center" wrapText="1"/>
    </xf>
    <xf numFmtId="0" fontId="10" fillId="0" borderId="6" xfId="2" applyFont="1" applyBorder="1"/>
    <xf numFmtId="3" fontId="13" fillId="3" borderId="21" xfId="2" applyNumberFormat="1" applyFont="1" applyFill="1" applyBorder="1"/>
    <xf numFmtId="4" fontId="13" fillId="3" borderId="21" xfId="2" applyNumberFormat="1" applyFont="1" applyFill="1" applyBorder="1"/>
    <xf numFmtId="3" fontId="25" fillId="5" borderId="35" xfId="9" applyNumberFormat="1" applyFont="1" applyFill="1" applyBorder="1"/>
    <xf numFmtId="3" fontId="14" fillId="7" borderId="35" xfId="9" applyNumberFormat="1" applyFont="1" applyFill="1" applyBorder="1"/>
    <xf numFmtId="4" fontId="14" fillId="4" borderId="22" xfId="0" applyNumberFormat="1" applyFont="1" applyFill="1" applyBorder="1" applyAlignment="1">
      <alignment horizontal="right"/>
    </xf>
    <xf numFmtId="0" fontId="14" fillId="7" borderId="56" xfId="9" applyFont="1" applyFill="1" applyBorder="1"/>
    <xf numFmtId="0" fontId="15" fillId="3" borderId="12" xfId="9" applyFont="1" applyFill="1" applyBorder="1"/>
    <xf numFmtId="3" fontId="15" fillId="4" borderId="17" xfId="0" applyNumberFormat="1" applyFont="1" applyFill="1" applyBorder="1"/>
    <xf numFmtId="3" fontId="15" fillId="4" borderId="18" xfId="0" applyNumberFormat="1" applyFont="1" applyFill="1" applyBorder="1"/>
    <xf numFmtId="3" fontId="28" fillId="0" borderId="1" xfId="5" applyNumberFormat="1" applyFont="1" applyBorder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4" xfId="0" applyFont="1" applyBorder="1"/>
    <xf numFmtId="0" fontId="8" fillId="0" borderId="24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3" fontId="8" fillId="0" borderId="5" xfId="5" applyNumberFormat="1" applyFont="1" applyBorder="1"/>
    <xf numFmtId="3" fontId="14" fillId="7" borderId="44" xfId="9" applyNumberFormat="1" applyFont="1" applyFill="1" applyBorder="1"/>
    <xf numFmtId="4" fontId="14" fillId="7" borderId="44" xfId="9" applyNumberFormat="1" applyFont="1" applyFill="1" applyBorder="1"/>
    <xf numFmtId="3" fontId="9" fillId="0" borderId="24" xfId="0" applyNumberFormat="1" applyFont="1" applyBorder="1"/>
    <xf numFmtId="3" fontId="15" fillId="6" borderId="44" xfId="5" applyNumberFormat="1" applyFont="1" applyFill="1" applyBorder="1"/>
    <xf numFmtId="3" fontId="25" fillId="4" borderId="62" xfId="9" applyNumberFormat="1" applyFont="1" applyFill="1" applyBorder="1"/>
    <xf numFmtId="3" fontId="14" fillId="4" borderId="18" xfId="9" applyNumberFormat="1" applyFont="1" applyFill="1" applyBorder="1"/>
    <xf numFmtId="3" fontId="14" fillId="4" borderId="44" xfId="9" applyNumberFormat="1" applyFont="1" applyFill="1" applyBorder="1"/>
    <xf numFmtId="0" fontId="9" fillId="9" borderId="27" xfId="9" applyFont="1" applyFill="1" applyBorder="1"/>
    <xf numFmtId="3" fontId="9" fillId="0" borderId="27" xfId="5" applyNumberFormat="1" applyFont="1" applyBorder="1"/>
    <xf numFmtId="3" fontId="14" fillId="7" borderId="62" xfId="9" applyNumberFormat="1" applyFont="1" applyFill="1" applyBorder="1"/>
    <xf numFmtId="3" fontId="15" fillId="3" borderId="27" xfId="9" applyNumberFormat="1" applyFont="1" applyFill="1" applyBorder="1"/>
    <xf numFmtId="3" fontId="15" fillId="3" borderId="27" xfId="9" applyNumberFormat="1" applyFont="1" applyFill="1" applyBorder="1" applyAlignment="1">
      <alignment horizontal="right"/>
    </xf>
    <xf numFmtId="3" fontId="13" fillId="3" borderId="27" xfId="2" applyNumberFormat="1" applyFont="1" applyFill="1" applyBorder="1"/>
    <xf numFmtId="3" fontId="9" fillId="0" borderId="34" xfId="5" applyNumberFormat="1" applyFont="1" applyBorder="1"/>
    <xf numFmtId="3" fontId="13" fillId="3" borderId="28" xfId="2" applyNumberFormat="1" applyFont="1" applyFill="1" applyBorder="1"/>
    <xf numFmtId="3" fontId="14" fillId="3" borderId="28" xfId="0" applyNumberFormat="1" applyFont="1" applyFill="1" applyBorder="1" applyAlignment="1">
      <alignment horizontal="right"/>
    </xf>
    <xf numFmtId="3" fontId="14" fillId="3" borderId="28" xfId="0" applyNumberFormat="1" applyFont="1" applyFill="1" applyBorder="1"/>
    <xf numFmtId="3" fontId="14" fillId="3" borderId="21" xfId="0" applyNumberFormat="1" applyFont="1" applyFill="1" applyBorder="1"/>
    <xf numFmtId="4" fontId="14" fillId="3" borderId="21" xfId="0" applyNumberFormat="1" applyFont="1" applyFill="1" applyBorder="1"/>
    <xf numFmtId="3" fontId="14" fillId="4" borderId="17" xfId="0" applyNumberFormat="1" applyFont="1" applyFill="1" applyBorder="1"/>
    <xf numFmtId="3" fontId="14" fillId="4" borderId="62" xfId="0" applyNumberFormat="1" applyFont="1" applyFill="1" applyBorder="1" applyAlignment="1">
      <alignment horizontal="right"/>
    </xf>
    <xf numFmtId="4" fontId="14" fillId="4" borderId="62" xfId="0" applyNumberFormat="1" applyFont="1" applyFill="1" applyBorder="1" applyAlignment="1">
      <alignment horizontal="right"/>
    </xf>
    <xf numFmtId="3" fontId="14" fillId="3" borderId="12" xfId="0" applyNumberFormat="1" applyFont="1" applyFill="1" applyBorder="1" applyAlignment="1">
      <alignment horizontal="right"/>
    </xf>
    <xf numFmtId="3" fontId="14" fillId="3" borderId="12" xfId="0" applyNumberFormat="1" applyFont="1" applyFill="1" applyBorder="1"/>
    <xf numFmtId="4" fontId="14" fillId="4" borderId="62" xfId="0" applyNumberFormat="1" applyFont="1" applyFill="1" applyBorder="1"/>
    <xf numFmtId="4" fontId="14" fillId="3" borderId="12" xfId="0" applyNumberFormat="1" applyFont="1" applyFill="1" applyBorder="1"/>
    <xf numFmtId="4" fontId="14" fillId="3" borderId="14" xfId="0" applyNumberFormat="1" applyFont="1" applyFill="1" applyBorder="1"/>
    <xf numFmtId="4" fontId="14" fillId="3" borderId="12" xfId="0" applyNumberFormat="1" applyFont="1" applyFill="1" applyBorder="1" applyAlignment="1">
      <alignment horizontal="right"/>
    </xf>
    <xf numFmtId="4" fontId="14" fillId="3" borderId="14" xfId="0" applyNumberFormat="1" applyFont="1" applyFill="1" applyBorder="1" applyAlignment="1">
      <alignment horizontal="right"/>
    </xf>
    <xf numFmtId="3" fontId="13" fillId="4" borderId="22" xfId="2" applyNumberFormat="1" applyFont="1" applyFill="1" applyBorder="1"/>
    <xf numFmtId="3" fontId="23" fillId="0" borderId="0" xfId="9" applyNumberFormat="1" applyFont="1"/>
    <xf numFmtId="4" fontId="23" fillId="0" borderId="0" xfId="9" applyNumberFormat="1" applyFont="1"/>
    <xf numFmtId="3" fontId="28" fillId="0" borderId="0" xfId="9" applyNumberFormat="1" applyFont="1"/>
    <xf numFmtId="3" fontId="13" fillId="3" borderId="27" xfId="9" applyNumberFormat="1" applyFont="1" applyFill="1" applyBorder="1" applyAlignment="1">
      <alignment horizontal="right"/>
    </xf>
    <xf numFmtId="3" fontId="14" fillId="3" borderId="27" xfId="9" applyNumberFormat="1" applyFont="1" applyFill="1" applyBorder="1"/>
    <xf numFmtId="3" fontId="13" fillId="3" borderId="27" xfId="9" applyNumberFormat="1" applyFont="1" applyFill="1" applyBorder="1"/>
    <xf numFmtId="3" fontId="14" fillId="3" borderId="27" xfId="9" applyNumberFormat="1" applyFont="1" applyFill="1" applyBorder="1" applyAlignment="1">
      <alignment horizontal="right"/>
    </xf>
    <xf numFmtId="3" fontId="14" fillId="3" borderId="38" xfId="9" applyNumberFormat="1" applyFont="1" applyFill="1" applyBorder="1"/>
    <xf numFmtId="3" fontId="9" fillId="9" borderId="1" xfId="5" applyNumberFormat="1" applyFont="1" applyFill="1" applyBorder="1"/>
    <xf numFmtId="0" fontId="37" fillId="0" borderId="0" xfId="14" applyFont="1"/>
    <xf numFmtId="4" fontId="37" fillId="0" borderId="0" xfId="14" applyNumberFormat="1" applyFont="1"/>
    <xf numFmtId="3" fontId="37" fillId="0" borderId="0" xfId="14" applyNumberFormat="1" applyFont="1"/>
    <xf numFmtId="0" fontId="37" fillId="0" borderId="0" xfId="14" applyFont="1" applyAlignment="1">
      <alignment horizontal="center"/>
    </xf>
    <xf numFmtId="0" fontId="37" fillId="0" borderId="0" xfId="14" applyFont="1" applyAlignment="1">
      <alignment horizontal="right"/>
    </xf>
    <xf numFmtId="4" fontId="37" fillId="0" borderId="0" xfId="14" applyNumberFormat="1" applyFont="1" applyAlignment="1">
      <alignment horizontal="center"/>
    </xf>
    <xf numFmtId="4" fontId="40" fillId="7" borderId="44" xfId="14" applyNumberFormat="1" applyFont="1" applyFill="1" applyBorder="1"/>
    <xf numFmtId="3" fontId="40" fillId="7" borderId="44" xfId="14" applyNumberFormat="1" applyFont="1" applyFill="1" applyBorder="1"/>
    <xf numFmtId="3" fontId="40" fillId="7" borderId="62" xfId="14" applyNumberFormat="1" applyFont="1" applyFill="1" applyBorder="1"/>
    <xf numFmtId="3" fontId="40" fillId="4" borderId="20" xfId="14" applyNumberFormat="1" applyFont="1" applyFill="1" applyBorder="1"/>
    <xf numFmtId="3" fontId="14" fillId="4" borderId="18" xfId="14" applyNumberFormat="1" applyFont="1" applyFill="1" applyBorder="1"/>
    <xf numFmtId="3" fontId="40" fillId="4" borderId="37" xfId="14" applyNumberFormat="1" applyFont="1" applyFill="1" applyBorder="1" applyAlignment="1">
      <alignment horizontal="center"/>
    </xf>
    <xf numFmtId="4" fontId="14" fillId="3" borderId="14" xfId="14" applyNumberFormat="1" applyFont="1" applyFill="1" applyBorder="1"/>
    <xf numFmtId="4" fontId="14" fillId="3" borderId="12" xfId="14" applyNumberFormat="1" applyFont="1" applyFill="1" applyBorder="1"/>
    <xf numFmtId="3" fontId="14" fillId="3" borderId="12" xfId="14" applyNumberFormat="1" applyFont="1" applyFill="1" applyBorder="1"/>
    <xf numFmtId="3" fontId="14" fillId="3" borderId="38" xfId="14" applyNumberFormat="1" applyFont="1" applyFill="1" applyBorder="1"/>
    <xf numFmtId="0" fontId="14" fillId="3" borderId="12" xfId="14" applyFont="1" applyFill="1" applyBorder="1" applyAlignment="1">
      <alignment horizontal="left"/>
    </xf>
    <xf numFmtId="49" fontId="14" fillId="3" borderId="1" xfId="14" applyNumberFormat="1" applyFont="1" applyFill="1" applyBorder="1" applyAlignment="1">
      <alignment horizontal="right"/>
    </xf>
    <xf numFmtId="1" fontId="14" fillId="3" borderId="1" xfId="14" applyNumberFormat="1" applyFont="1" applyFill="1" applyBorder="1" applyAlignment="1">
      <alignment horizontal="right"/>
    </xf>
    <xf numFmtId="3" fontId="37" fillId="0" borderId="1" xfId="14" applyNumberFormat="1" applyFont="1" applyBorder="1"/>
    <xf numFmtId="4" fontId="9" fillId="0" borderId="1" xfId="14" applyNumberFormat="1" applyFont="1" applyBorder="1"/>
    <xf numFmtId="3" fontId="9" fillId="0" borderId="1" xfId="14" applyNumberFormat="1" applyFont="1" applyBorder="1"/>
    <xf numFmtId="3" fontId="9" fillId="0" borderId="27" xfId="14" applyNumberFormat="1" applyFont="1" applyBorder="1"/>
    <xf numFmtId="3" fontId="8" fillId="0" borderId="1" xfId="14" applyNumberFormat="1" applyFont="1" applyBorder="1"/>
    <xf numFmtId="0" fontId="8" fillId="0" borderId="9" xfId="14" applyFont="1" applyBorder="1"/>
    <xf numFmtId="0" fontId="8" fillId="0" borderId="1" xfId="14" applyFont="1" applyBorder="1" applyAlignment="1">
      <alignment horizontal="left"/>
    </xf>
    <xf numFmtId="49" fontId="8" fillId="0" borderId="1" xfId="14" applyNumberFormat="1" applyFont="1" applyBorder="1" applyAlignment="1">
      <alignment horizontal="right"/>
    </xf>
    <xf numFmtId="1" fontId="8" fillId="0" borderId="1" xfId="14" applyNumberFormat="1" applyFont="1" applyBorder="1" applyAlignment="1">
      <alignment horizontal="right"/>
    </xf>
    <xf numFmtId="0" fontId="8" fillId="0" borderId="1" xfId="14" applyFont="1" applyBorder="1" applyAlignment="1">
      <alignment horizontal="center"/>
    </xf>
    <xf numFmtId="0" fontId="8" fillId="0" borderId="1" xfId="14" applyFont="1" applyBorder="1" applyProtection="1">
      <protection locked="0"/>
    </xf>
    <xf numFmtId="0" fontId="8" fillId="0" borderId="1" xfId="14" applyFont="1" applyBorder="1" applyAlignment="1" applyProtection="1">
      <alignment horizontal="center"/>
      <protection locked="0"/>
    </xf>
    <xf numFmtId="3" fontId="14" fillId="3" borderId="1" xfId="14" applyNumberFormat="1" applyFont="1" applyFill="1" applyBorder="1"/>
    <xf numFmtId="3" fontId="14" fillId="3" borderId="27" xfId="14" applyNumberFormat="1" applyFont="1" applyFill="1" applyBorder="1"/>
    <xf numFmtId="0" fontId="14" fillId="3" borderId="9" xfId="14" applyFont="1" applyFill="1" applyBorder="1"/>
    <xf numFmtId="0" fontId="14" fillId="3" borderId="1" xfId="14" applyFont="1" applyFill="1" applyBorder="1"/>
    <xf numFmtId="0" fontId="8" fillId="3" borderId="1" xfId="14" applyFont="1" applyFill="1" applyBorder="1" applyAlignment="1">
      <alignment horizontal="center"/>
    </xf>
    <xf numFmtId="0" fontId="14" fillId="3" borderId="1" xfId="14" applyFont="1" applyFill="1" applyBorder="1" applyAlignment="1">
      <alignment horizontal="right"/>
    </xf>
    <xf numFmtId="0" fontId="14" fillId="3" borderId="1" xfId="14" applyFont="1" applyFill="1" applyBorder="1" applyAlignment="1" applyProtection="1">
      <alignment horizontal="right"/>
      <protection locked="0"/>
    </xf>
    <xf numFmtId="0" fontId="14" fillId="3" borderId="1" xfId="14" applyFont="1" applyFill="1" applyBorder="1" applyAlignment="1">
      <alignment horizontal="center"/>
    </xf>
    <xf numFmtId="0" fontId="8" fillId="0" borderId="1" xfId="14" applyFont="1" applyBorder="1"/>
    <xf numFmtId="0" fontId="8" fillId="0" borderId="1" xfId="14" applyFont="1" applyBorder="1" applyAlignment="1">
      <alignment horizontal="right"/>
    </xf>
    <xf numFmtId="0" fontId="8" fillId="0" borderId="1" xfId="14" applyFont="1" applyBorder="1" applyAlignment="1" applyProtection="1">
      <alignment horizontal="right"/>
      <protection locked="0"/>
    </xf>
    <xf numFmtId="0" fontId="9" fillId="0" borderId="1" xfId="14" applyFont="1" applyBorder="1"/>
    <xf numFmtId="3" fontId="38" fillId="3" borderId="1" xfId="14" applyNumberFormat="1" applyFont="1" applyFill="1" applyBorder="1"/>
    <xf numFmtId="3" fontId="38" fillId="3" borderId="27" xfId="14" applyNumberFormat="1" applyFont="1" applyFill="1" applyBorder="1"/>
    <xf numFmtId="3" fontId="14" fillId="3" borderId="1" xfId="14" applyNumberFormat="1" applyFont="1" applyFill="1" applyBorder="1" applyAlignment="1">
      <alignment horizontal="right"/>
    </xf>
    <xf numFmtId="3" fontId="14" fillId="3" borderId="27" xfId="14" applyNumberFormat="1" applyFont="1" applyFill="1" applyBorder="1" applyAlignment="1">
      <alignment horizontal="right"/>
    </xf>
    <xf numFmtId="0" fontId="14" fillId="3" borderId="10" xfId="14" applyFont="1" applyFill="1" applyBorder="1" applyAlignment="1">
      <alignment horizontal="left"/>
    </xf>
    <xf numFmtId="0" fontId="8" fillId="0" borderId="27" xfId="14" applyFont="1" applyBorder="1" applyAlignment="1">
      <alignment horizontal="center"/>
    </xf>
    <xf numFmtId="0" fontId="8" fillId="0" borderId="1" xfId="14" applyFont="1" applyBorder="1" applyAlignment="1">
      <alignment wrapText="1"/>
    </xf>
    <xf numFmtId="3" fontId="37" fillId="0" borderId="24" xfId="14" applyNumberFormat="1" applyFont="1" applyBorder="1"/>
    <xf numFmtId="4" fontId="9" fillId="0" borderId="24" xfId="14" applyNumberFormat="1" applyFont="1" applyBorder="1"/>
    <xf numFmtId="3" fontId="9" fillId="0" borderId="24" xfId="14" applyNumberFormat="1" applyFont="1" applyBorder="1"/>
    <xf numFmtId="0" fontId="8" fillId="0" borderId="6" xfId="14" applyFont="1" applyBorder="1"/>
    <xf numFmtId="0" fontId="8" fillId="0" borderId="5" xfId="14" applyFont="1" applyBorder="1"/>
    <xf numFmtId="0" fontId="8" fillId="0" borderId="5" xfId="14" applyFont="1" applyBorder="1" applyAlignment="1">
      <alignment horizontal="center"/>
    </xf>
    <xf numFmtId="0" fontId="8" fillId="0" borderId="5" xfId="14" applyFont="1" applyBorder="1" applyAlignment="1">
      <alignment horizontal="right"/>
    </xf>
    <xf numFmtId="0" fontId="8" fillId="0" borderId="5" xfId="14" applyFont="1" applyBorder="1" applyAlignment="1" applyProtection="1">
      <alignment horizontal="right"/>
      <protection locked="0"/>
    </xf>
    <xf numFmtId="0" fontId="23" fillId="0" borderId="0" xfId="14" applyFont="1"/>
    <xf numFmtId="3" fontId="23" fillId="8" borderId="18" xfId="14" applyNumberFormat="1" applyFont="1" applyFill="1" applyBorder="1" applyAlignment="1">
      <alignment horizontal="center"/>
    </xf>
    <xf numFmtId="3" fontId="23" fillId="8" borderId="22" xfId="14" applyNumberFormat="1" applyFont="1" applyFill="1" applyBorder="1" applyAlignment="1">
      <alignment horizontal="center"/>
    </xf>
    <xf numFmtId="3" fontId="23" fillId="8" borderId="32" xfId="14" applyNumberFormat="1" applyFont="1" applyFill="1" applyBorder="1" applyAlignment="1">
      <alignment horizontal="center"/>
    </xf>
    <xf numFmtId="3" fontId="23" fillId="8" borderId="31" xfId="14" applyNumberFormat="1" applyFont="1" applyFill="1" applyBorder="1" applyAlignment="1">
      <alignment horizontal="center"/>
    </xf>
    <xf numFmtId="0" fontId="23" fillId="8" borderId="20" xfId="14" applyFont="1" applyFill="1" applyBorder="1" applyAlignment="1">
      <alignment horizontal="center"/>
    </xf>
    <xf numFmtId="0" fontId="23" fillId="8" borderId="18" xfId="14" applyFont="1" applyFill="1" applyBorder="1" applyAlignment="1">
      <alignment horizontal="center"/>
    </xf>
    <xf numFmtId="0" fontId="23" fillId="8" borderId="17" xfId="14" applyFont="1" applyFill="1" applyBorder="1" applyAlignment="1">
      <alignment horizontal="center"/>
    </xf>
    <xf numFmtId="0" fontId="38" fillId="0" borderId="18" xfId="14" applyFont="1" applyBorder="1" applyAlignment="1">
      <alignment horizontal="center" vertical="center" wrapText="1"/>
    </xf>
    <xf numFmtId="0" fontId="38" fillId="0" borderId="18" xfId="14" applyFont="1" applyBorder="1" applyAlignment="1">
      <alignment horizontal="center" vertical="center"/>
    </xf>
    <xf numFmtId="0" fontId="38" fillId="0" borderId="17" xfId="14" applyFont="1" applyBorder="1" applyAlignment="1">
      <alignment horizontal="center" vertical="center"/>
    </xf>
    <xf numFmtId="0" fontId="38" fillId="0" borderId="0" xfId="14" applyFont="1" applyAlignment="1">
      <alignment vertical="center"/>
    </xf>
    <xf numFmtId="0" fontId="37" fillId="0" borderId="0" xfId="14" applyFont="1" applyAlignment="1">
      <alignment horizontal="center" vertical="center"/>
    </xf>
    <xf numFmtId="0" fontId="38" fillId="0" borderId="0" xfId="14" applyFont="1"/>
    <xf numFmtId="0" fontId="38" fillId="0" borderId="0" xfId="14" applyFont="1" applyAlignment="1">
      <alignment horizontal="right"/>
    </xf>
    <xf numFmtId="0" fontId="38" fillId="0" borderId="0" xfId="14" applyFont="1" applyAlignment="1">
      <alignment horizontal="center"/>
    </xf>
    <xf numFmtId="0" fontId="44" fillId="0" borderId="0" xfId="14" applyFont="1" applyAlignment="1">
      <alignment horizontal="center"/>
    </xf>
    <xf numFmtId="0" fontId="44" fillId="0" borderId="0" xfId="14" applyFont="1" applyAlignment="1">
      <alignment horizontal="right"/>
    </xf>
    <xf numFmtId="0" fontId="44" fillId="0" borderId="0" xfId="14" applyFont="1" applyAlignment="1">
      <alignment horizontal="left"/>
    </xf>
    <xf numFmtId="0" fontId="37" fillId="0" borderId="0" xfId="15" applyFont="1" applyAlignment="1">
      <alignment horizontal="center"/>
    </xf>
    <xf numFmtId="3" fontId="14" fillId="3" borderId="21" xfId="14" applyNumberFormat="1" applyFont="1" applyFill="1" applyBorder="1"/>
    <xf numFmtId="3" fontId="14" fillId="3" borderId="21" xfId="14" applyNumberFormat="1" applyFont="1" applyFill="1" applyBorder="1" applyAlignment="1">
      <alignment horizontal="right"/>
    </xf>
    <xf numFmtId="3" fontId="38" fillId="3" borderId="21" xfId="14" applyNumberFormat="1" applyFont="1" applyFill="1" applyBorder="1"/>
    <xf numFmtId="3" fontId="9" fillId="0" borderId="4" xfId="5" applyNumberFormat="1" applyFont="1" applyBorder="1"/>
    <xf numFmtId="3" fontId="23" fillId="8" borderId="51" xfId="14" applyNumberFormat="1" applyFont="1" applyFill="1" applyBorder="1" applyAlignment="1">
      <alignment horizontal="center"/>
    </xf>
    <xf numFmtId="3" fontId="37" fillId="0" borderId="5" xfId="14" applyNumberFormat="1" applyFont="1" applyBorder="1"/>
    <xf numFmtId="0" fontId="14" fillId="3" borderId="9" xfId="0" applyFont="1" applyFill="1" applyBorder="1"/>
    <xf numFmtId="0" fontId="14" fillId="3" borderId="29" xfId="0" applyFont="1" applyFill="1" applyBorder="1"/>
    <xf numFmtId="0" fontId="8" fillId="0" borderId="30" xfId="0" applyFont="1" applyBorder="1"/>
    <xf numFmtId="0" fontId="8" fillId="0" borderId="9" xfId="0" applyFont="1" applyBorder="1"/>
    <xf numFmtId="0" fontId="10" fillId="0" borderId="30" xfId="0" applyFont="1" applyBorder="1"/>
    <xf numFmtId="0" fontId="10" fillId="0" borderId="9" xfId="0" applyFont="1" applyBorder="1"/>
    <xf numFmtId="3" fontId="15" fillId="3" borderId="21" xfId="9" applyNumberFormat="1" applyFont="1" applyFill="1" applyBorder="1"/>
    <xf numFmtId="0" fontId="15" fillId="3" borderId="45" xfId="9" applyFont="1" applyFill="1" applyBorder="1" applyAlignment="1">
      <alignment horizontal="left"/>
    </xf>
    <xf numFmtId="0" fontId="15" fillId="3" borderId="45" xfId="9" applyFont="1" applyFill="1" applyBorder="1"/>
    <xf numFmtId="0" fontId="9" fillId="3" borderId="45" xfId="9" applyFont="1" applyFill="1" applyBorder="1"/>
    <xf numFmtId="0" fontId="15" fillId="3" borderId="46" xfId="9" applyFont="1" applyFill="1" applyBorder="1"/>
    <xf numFmtId="3" fontId="13" fillId="3" borderId="21" xfId="9" applyNumberFormat="1" applyFont="1" applyFill="1" applyBorder="1" applyAlignment="1">
      <alignment horizontal="right"/>
    </xf>
    <xf numFmtId="3" fontId="14" fillId="3" borderId="21" xfId="9" applyNumberFormat="1" applyFont="1" applyFill="1" applyBorder="1"/>
    <xf numFmtId="3" fontId="13" fillId="3" borderId="21" xfId="9" applyNumberFormat="1" applyFont="1" applyFill="1" applyBorder="1"/>
    <xf numFmtId="3" fontId="14" fillId="3" borderId="21" xfId="9" applyNumberFormat="1" applyFont="1" applyFill="1" applyBorder="1" applyAlignment="1">
      <alignment horizontal="right"/>
    </xf>
    <xf numFmtId="3" fontId="23" fillId="8" borderId="17" xfId="14" applyNumberFormat="1" applyFont="1" applyFill="1" applyBorder="1" applyAlignment="1">
      <alignment horizontal="center"/>
    </xf>
    <xf numFmtId="4" fontId="23" fillId="8" borderId="64" xfId="14" applyNumberFormat="1" applyFont="1" applyFill="1" applyBorder="1" applyAlignment="1">
      <alignment horizontal="center"/>
    </xf>
    <xf numFmtId="3" fontId="9" fillId="0" borderId="34" xfId="14" applyNumberFormat="1" applyFont="1" applyBorder="1"/>
    <xf numFmtId="3" fontId="9" fillId="0" borderId="5" xfId="14" applyNumberFormat="1" applyFont="1" applyBorder="1"/>
    <xf numFmtId="3" fontId="23" fillId="8" borderId="20" xfId="14" applyNumberFormat="1" applyFont="1" applyFill="1" applyBorder="1" applyAlignment="1">
      <alignment horizontal="center"/>
    </xf>
    <xf numFmtId="3" fontId="8" fillId="0" borderId="5" xfId="14" applyNumberFormat="1" applyFont="1" applyBorder="1"/>
    <xf numFmtId="4" fontId="9" fillId="0" borderId="5" xfId="14" applyNumberFormat="1" applyFont="1" applyBorder="1"/>
    <xf numFmtId="4" fontId="23" fillId="8" borderId="17" xfId="14" applyNumberFormat="1" applyFont="1" applyFill="1" applyBorder="1" applyAlignment="1">
      <alignment horizontal="center"/>
    </xf>
    <xf numFmtId="4" fontId="23" fillId="8" borderId="19" xfId="14" applyNumberFormat="1" applyFont="1" applyFill="1" applyBorder="1" applyAlignment="1">
      <alignment horizontal="center"/>
    </xf>
    <xf numFmtId="3" fontId="37" fillId="0" borderId="23" xfId="14" applyNumberFormat="1" applyFont="1" applyBorder="1"/>
    <xf numFmtId="3" fontId="37" fillId="0" borderId="8" xfId="14" applyNumberFormat="1" applyFont="1" applyBorder="1"/>
    <xf numFmtId="3" fontId="15" fillId="3" borderId="8" xfId="5" applyNumberFormat="1" applyFont="1" applyFill="1" applyBorder="1"/>
    <xf numFmtId="3" fontId="15" fillId="3" borderId="8" xfId="5" applyNumberFormat="1" applyFont="1" applyFill="1" applyBorder="1" applyAlignment="1">
      <alignment horizontal="right"/>
    </xf>
    <xf numFmtId="3" fontId="15" fillId="6" borderId="18" xfId="5" applyNumberFormat="1" applyFont="1" applyFill="1" applyBorder="1"/>
    <xf numFmtId="4" fontId="15" fillId="6" borderId="19" xfId="5" applyNumberFormat="1" applyFont="1" applyFill="1" applyBorder="1"/>
    <xf numFmtId="3" fontId="15" fillId="6" borderId="56" xfId="5" applyNumberFormat="1" applyFont="1" applyFill="1" applyBorder="1"/>
    <xf numFmtId="4" fontId="15" fillId="6" borderId="17" xfId="5" applyNumberFormat="1" applyFont="1" applyFill="1" applyBorder="1"/>
    <xf numFmtId="4" fontId="15" fillId="6" borderId="18" xfId="5" applyNumberFormat="1" applyFont="1" applyFill="1" applyBorder="1"/>
    <xf numFmtId="3" fontId="13" fillId="4" borderId="17" xfId="2" applyNumberFormat="1" applyFont="1" applyFill="1" applyBorder="1"/>
    <xf numFmtId="4" fontId="13" fillId="4" borderId="17" xfId="2" applyNumberFormat="1" applyFont="1" applyFill="1" applyBorder="1"/>
    <xf numFmtId="3" fontId="9" fillId="0" borderId="4" xfId="14" applyNumberFormat="1" applyFont="1" applyBorder="1"/>
    <xf numFmtId="3" fontId="14" fillId="4" borderId="18" xfId="0" applyNumberFormat="1" applyFont="1" applyFill="1" applyBorder="1"/>
    <xf numFmtId="4" fontId="14" fillId="4" borderId="19" xfId="0" applyNumberFormat="1" applyFont="1" applyFill="1" applyBorder="1"/>
    <xf numFmtId="0" fontId="14" fillId="4" borderId="20" xfId="0" applyFont="1" applyFill="1" applyBorder="1"/>
    <xf numFmtId="3" fontId="25" fillId="3" borderId="21" xfId="9" applyNumberFormat="1" applyFont="1" applyFill="1" applyBorder="1"/>
    <xf numFmtId="3" fontId="25" fillId="5" borderId="17" xfId="9" applyNumberFormat="1" applyFont="1" applyFill="1" applyBorder="1"/>
    <xf numFmtId="3" fontId="25" fillId="5" borderId="22" xfId="9" applyNumberFormat="1" applyFont="1" applyFill="1" applyBorder="1"/>
    <xf numFmtId="3" fontId="25" fillId="5" borderId="18" xfId="9" applyNumberFormat="1" applyFont="1" applyFill="1" applyBorder="1"/>
    <xf numFmtId="4" fontId="14" fillId="7" borderId="19" xfId="9" applyNumberFormat="1" applyFont="1" applyFill="1" applyBorder="1"/>
    <xf numFmtId="4" fontId="15" fillId="3" borderId="21" xfId="9" applyNumberFormat="1" applyFont="1" applyFill="1" applyBorder="1"/>
    <xf numFmtId="4" fontId="15" fillId="3" borderId="26" xfId="9" applyNumberFormat="1" applyFont="1" applyFill="1" applyBorder="1"/>
    <xf numFmtId="3" fontId="15" fillId="3" borderId="28" xfId="9" applyNumberFormat="1" applyFont="1" applyFill="1" applyBorder="1"/>
    <xf numFmtId="3" fontId="14" fillId="4" borderId="18" xfId="0" applyNumberFormat="1" applyFont="1" applyFill="1" applyBorder="1" applyAlignment="1">
      <alignment horizontal="right"/>
    </xf>
    <xf numFmtId="4" fontId="14" fillId="4" borderId="19" xfId="0" applyNumberFormat="1" applyFont="1" applyFill="1" applyBorder="1" applyAlignment="1">
      <alignment horizontal="right"/>
    </xf>
    <xf numFmtId="0" fontId="13" fillId="0" borderId="68" xfId="0" applyFont="1" applyBorder="1" applyAlignment="1">
      <alignment vertical="center" wrapText="1"/>
    </xf>
    <xf numFmtId="3" fontId="9" fillId="0" borderId="6" xfId="14" applyNumberFormat="1" applyFont="1" applyBorder="1"/>
    <xf numFmtId="4" fontId="23" fillId="8" borderId="52" xfId="14" applyNumberFormat="1" applyFont="1" applyFill="1" applyBorder="1" applyAlignment="1">
      <alignment horizontal="center"/>
    </xf>
    <xf numFmtId="4" fontId="9" fillId="0" borderId="23" xfId="14" applyNumberFormat="1" applyFont="1" applyBorder="1"/>
    <xf numFmtId="4" fontId="9" fillId="0" borderId="65" xfId="14" applyNumberFormat="1" applyFont="1" applyBorder="1"/>
    <xf numFmtId="4" fontId="9" fillId="0" borderId="10" xfId="14" applyNumberFormat="1" applyFont="1" applyBorder="1"/>
    <xf numFmtId="3" fontId="37" fillId="0" borderId="4" xfId="14" applyNumberFormat="1" applyFont="1" applyBorder="1"/>
    <xf numFmtId="4" fontId="37" fillId="0" borderId="7" xfId="14" applyNumberFormat="1" applyFont="1" applyBorder="1"/>
    <xf numFmtId="3" fontId="14" fillId="3" borderId="8" xfId="14" applyNumberFormat="1" applyFont="1" applyFill="1" applyBorder="1"/>
    <xf numFmtId="4" fontId="14" fillId="3" borderId="10" xfId="14" applyNumberFormat="1" applyFont="1" applyFill="1" applyBorder="1"/>
    <xf numFmtId="4" fontId="37" fillId="0" borderId="10" xfId="14" applyNumberFormat="1" applyFont="1" applyBorder="1"/>
    <xf numFmtId="3" fontId="14" fillId="3" borderId="8" xfId="14" applyNumberFormat="1" applyFont="1" applyFill="1" applyBorder="1" applyAlignment="1">
      <alignment horizontal="right"/>
    </xf>
    <xf numFmtId="4" fontId="14" fillId="3" borderId="10" xfId="14" applyNumberFormat="1" applyFont="1" applyFill="1" applyBorder="1" applyAlignment="1">
      <alignment horizontal="right"/>
    </xf>
    <xf numFmtId="3" fontId="38" fillId="3" borderId="8" xfId="14" applyNumberFormat="1" applyFont="1" applyFill="1" applyBorder="1"/>
    <xf numFmtId="4" fontId="38" fillId="3" borderId="10" xfId="14" applyNumberFormat="1" applyFont="1" applyFill="1" applyBorder="1"/>
    <xf numFmtId="3" fontId="15" fillId="6" borderId="35" xfId="5" applyNumberFormat="1" applyFont="1" applyFill="1" applyBorder="1"/>
    <xf numFmtId="3" fontId="9" fillId="0" borderId="23" xfId="14" applyNumberFormat="1" applyFont="1" applyBorder="1"/>
    <xf numFmtId="3" fontId="8" fillId="0" borderId="24" xfId="14" applyNumberFormat="1" applyFont="1" applyBorder="1"/>
    <xf numFmtId="3" fontId="15" fillId="3" borderId="11" xfId="5" applyNumberFormat="1" applyFont="1" applyFill="1" applyBorder="1"/>
    <xf numFmtId="4" fontId="40" fillId="7" borderId="67" xfId="14" applyNumberFormat="1" applyFont="1" applyFill="1" applyBorder="1"/>
    <xf numFmtId="3" fontId="16" fillId="4" borderId="20" xfId="0" applyNumberFormat="1" applyFont="1" applyFill="1" applyBorder="1"/>
    <xf numFmtId="3" fontId="9" fillId="0" borderId="6" xfId="0" applyNumberFormat="1" applyFont="1" applyBorder="1"/>
    <xf numFmtId="3" fontId="9" fillId="0" borderId="9" xfId="0" applyNumberFormat="1" applyFont="1" applyBorder="1"/>
    <xf numFmtId="3" fontId="9" fillId="0" borderId="13" xfId="0" applyNumberFormat="1" applyFont="1" applyBorder="1"/>
    <xf numFmtId="4" fontId="16" fillId="4" borderId="17" xfId="0" applyNumberFormat="1" applyFont="1" applyFill="1" applyBorder="1"/>
    <xf numFmtId="4" fontId="16" fillId="4" borderId="19" xfId="0" applyNumberFormat="1" applyFont="1" applyFill="1" applyBorder="1"/>
    <xf numFmtId="4" fontId="9" fillId="0" borderId="4" xfId="0" applyNumberFormat="1" applyFont="1" applyBorder="1"/>
    <xf numFmtId="4" fontId="9" fillId="0" borderId="7" xfId="0" applyNumberFormat="1" applyFont="1" applyBorder="1"/>
    <xf numFmtId="4" fontId="9" fillId="0" borderId="8" xfId="0" applyNumberFormat="1" applyFont="1" applyBorder="1"/>
    <xf numFmtId="4" fontId="9" fillId="0" borderId="10" xfId="0" applyNumberFormat="1" applyFont="1" applyBorder="1"/>
    <xf numFmtId="4" fontId="9" fillId="0" borderId="11" xfId="0" applyNumberFormat="1" applyFont="1" applyBorder="1"/>
    <xf numFmtId="4" fontId="9" fillId="0" borderId="14" xfId="0" applyNumberFormat="1" applyFont="1" applyBorder="1"/>
    <xf numFmtId="3" fontId="22" fillId="0" borderId="6" xfId="0" applyNumberFormat="1" applyFont="1" applyBorder="1"/>
    <xf numFmtId="3" fontId="22" fillId="0" borderId="9" xfId="0" applyNumberFormat="1" applyFont="1" applyBorder="1"/>
    <xf numFmtId="3" fontId="22" fillId="0" borderId="13" xfId="0" applyNumberFormat="1" applyFont="1" applyBorder="1"/>
    <xf numFmtId="4" fontId="22" fillId="0" borderId="4" xfId="0" applyNumberFormat="1" applyFont="1" applyBorder="1"/>
    <xf numFmtId="4" fontId="22" fillId="0" borderId="7" xfId="0" applyNumberFormat="1" applyFont="1" applyBorder="1"/>
    <xf numFmtId="4" fontId="22" fillId="0" borderId="8" xfId="0" applyNumberFormat="1" applyFont="1" applyBorder="1"/>
    <xf numFmtId="4" fontId="22" fillId="0" borderId="10" xfId="0" applyNumberFormat="1" applyFont="1" applyBorder="1"/>
    <xf numFmtId="4" fontId="22" fillId="0" borderId="11" xfId="0" applyNumberFormat="1" applyFont="1" applyBorder="1"/>
    <xf numFmtId="4" fontId="22" fillId="0" borderId="14" xfId="0" applyNumberFormat="1" applyFont="1" applyBorder="1"/>
    <xf numFmtId="0" fontId="14" fillId="7" borderId="20" xfId="9" applyFont="1" applyFill="1" applyBorder="1"/>
    <xf numFmtId="3" fontId="15" fillId="3" borderId="25" xfId="9" applyNumberFormat="1" applyFont="1" applyFill="1" applyBorder="1"/>
    <xf numFmtId="3" fontId="15" fillId="3" borderId="25" xfId="9" applyNumberFormat="1" applyFont="1" applyFill="1" applyBorder="1" applyAlignment="1">
      <alignment horizontal="right"/>
    </xf>
    <xf numFmtId="3" fontId="13" fillId="3" borderId="25" xfId="9" applyNumberFormat="1" applyFont="1" applyFill="1" applyBorder="1" applyAlignment="1">
      <alignment horizontal="right"/>
    </xf>
    <xf numFmtId="3" fontId="14" fillId="3" borderId="25" xfId="9" applyNumberFormat="1" applyFont="1" applyFill="1" applyBorder="1"/>
    <xf numFmtId="3" fontId="13" fillId="3" borderId="25" xfId="9" applyNumberFormat="1" applyFont="1" applyFill="1" applyBorder="1"/>
    <xf numFmtId="3" fontId="14" fillId="3" borderId="25" xfId="9" applyNumberFormat="1" applyFont="1" applyFill="1" applyBorder="1" applyAlignment="1">
      <alignment horizontal="right"/>
    </xf>
    <xf numFmtId="3" fontId="14" fillId="3" borderId="11" xfId="9" applyNumberFormat="1" applyFont="1" applyFill="1" applyBorder="1"/>
    <xf numFmtId="3" fontId="13" fillId="3" borderId="8" xfId="9" applyNumberFormat="1" applyFont="1" applyFill="1" applyBorder="1" applyAlignment="1">
      <alignment horizontal="right"/>
    </xf>
    <xf numFmtId="3" fontId="14" fillId="3" borderId="8" xfId="9" applyNumberFormat="1" applyFont="1" applyFill="1" applyBorder="1"/>
    <xf numFmtId="3" fontId="13" fillId="3" borderId="8" xfId="9" applyNumberFormat="1" applyFont="1" applyFill="1" applyBorder="1"/>
    <xf numFmtId="3" fontId="14" fillId="3" borderId="8" xfId="9" applyNumberFormat="1" applyFont="1" applyFill="1" applyBorder="1" applyAlignment="1">
      <alignment horizontal="right"/>
    </xf>
    <xf numFmtId="4" fontId="14" fillId="7" borderId="67" xfId="9" applyNumberFormat="1" applyFont="1" applyFill="1" applyBorder="1"/>
    <xf numFmtId="0" fontId="15" fillId="3" borderId="34" xfId="9" applyFont="1" applyFill="1" applyBorder="1"/>
    <xf numFmtId="3" fontId="37" fillId="0" borderId="6" xfId="14" applyNumberFormat="1" applyFont="1" applyBorder="1"/>
    <xf numFmtId="3" fontId="37" fillId="0" borderId="9" xfId="14" applyNumberFormat="1" applyFont="1" applyBorder="1"/>
    <xf numFmtId="3" fontId="15" fillId="3" borderId="29" xfId="9" applyNumberFormat="1" applyFont="1" applyFill="1" applyBorder="1"/>
    <xf numFmtId="3" fontId="15" fillId="3" borderId="29" xfId="9" applyNumberFormat="1" applyFont="1" applyFill="1" applyBorder="1" applyAlignment="1">
      <alignment horizontal="right"/>
    </xf>
    <xf numFmtId="3" fontId="15" fillId="3" borderId="12" xfId="9" applyNumberFormat="1" applyFont="1" applyFill="1" applyBorder="1"/>
    <xf numFmtId="4" fontId="37" fillId="0" borderId="9" xfId="14" applyNumberFormat="1" applyFont="1" applyBorder="1"/>
    <xf numFmtId="3" fontId="15" fillId="3" borderId="9" xfId="9" applyNumberFormat="1" applyFont="1" applyFill="1" applyBorder="1"/>
    <xf numFmtId="3" fontId="15" fillId="3" borderId="9" xfId="9" applyNumberFormat="1" applyFont="1" applyFill="1" applyBorder="1" applyAlignment="1">
      <alignment horizontal="right"/>
    </xf>
    <xf numFmtId="3" fontId="25" fillId="3" borderId="9" xfId="9" applyNumberFormat="1" applyFont="1" applyFill="1" applyBorder="1"/>
    <xf numFmtId="3" fontId="15" fillId="3" borderId="8" xfId="9" applyNumberFormat="1" applyFont="1" applyFill="1" applyBorder="1"/>
    <xf numFmtId="3" fontId="15" fillId="3" borderId="8" xfId="9" applyNumberFormat="1" applyFont="1" applyFill="1" applyBorder="1" applyAlignment="1">
      <alignment horizontal="right"/>
    </xf>
    <xf numFmtId="3" fontId="25" fillId="3" borderId="8" xfId="9" applyNumberFormat="1" applyFont="1" applyFill="1" applyBorder="1"/>
    <xf numFmtId="3" fontId="25" fillId="3" borderId="11" xfId="9" applyNumberFormat="1" applyFont="1" applyFill="1" applyBorder="1"/>
    <xf numFmtId="3" fontId="37" fillId="0" borderId="8" xfId="5" applyNumberFormat="1" applyFont="1" applyBorder="1"/>
    <xf numFmtId="2" fontId="16" fillId="4" borderId="19" xfId="0" applyNumberFormat="1" applyFont="1" applyFill="1" applyBorder="1"/>
    <xf numFmtId="4" fontId="15" fillId="4" borderId="19" xfId="0" applyNumberFormat="1" applyFont="1" applyFill="1" applyBorder="1"/>
    <xf numFmtId="4" fontId="9" fillId="0" borderId="7" xfId="14" applyNumberFormat="1" applyFont="1" applyBorder="1"/>
    <xf numFmtId="3" fontId="9" fillId="0" borderId="8" xfId="14" applyNumberFormat="1" applyFont="1" applyBorder="1"/>
    <xf numFmtId="4" fontId="15" fillId="3" borderId="14" xfId="5" applyNumberFormat="1" applyFont="1" applyFill="1" applyBorder="1"/>
    <xf numFmtId="3" fontId="14" fillId="3" borderId="11" xfId="14" applyNumberFormat="1" applyFont="1" applyFill="1" applyBorder="1"/>
    <xf numFmtId="3" fontId="40" fillId="7" borderId="35" xfId="14" applyNumberFormat="1" applyFont="1" applyFill="1" applyBorder="1"/>
    <xf numFmtId="4" fontId="40" fillId="7" borderId="62" xfId="14" applyNumberFormat="1" applyFont="1" applyFill="1" applyBorder="1"/>
    <xf numFmtId="4" fontId="37" fillId="0" borderId="65" xfId="14" applyNumberFormat="1" applyFont="1" applyBorder="1"/>
    <xf numFmtId="4" fontId="37" fillId="0" borderId="0" xfId="14" applyNumberFormat="1" applyFont="1" applyAlignment="1">
      <alignment horizontal="right"/>
    </xf>
    <xf numFmtId="3" fontId="15" fillId="0" borderId="36" xfId="0" applyNumberFormat="1" applyFont="1" applyBorder="1" applyAlignment="1">
      <alignment horizontal="left"/>
    </xf>
    <xf numFmtId="3" fontId="15" fillId="0" borderId="6" xfId="0" applyNumberFormat="1" applyFont="1" applyBorder="1" applyAlignment="1">
      <alignment horizontal="left"/>
    </xf>
    <xf numFmtId="3" fontId="15" fillId="3" borderId="9" xfId="5" applyNumberFormat="1" applyFont="1" applyFill="1" applyBorder="1"/>
    <xf numFmtId="3" fontId="15" fillId="3" borderId="9" xfId="5" applyNumberFormat="1" applyFont="1" applyFill="1" applyBorder="1" applyAlignment="1">
      <alignment horizontal="right"/>
    </xf>
    <xf numFmtId="3" fontId="15" fillId="3" borderId="13" xfId="5" applyNumberFormat="1" applyFont="1" applyFill="1" applyBorder="1"/>
    <xf numFmtId="4" fontId="9" fillId="0" borderId="8" xfId="5" applyNumberFormat="1" applyFont="1" applyBorder="1"/>
    <xf numFmtId="4" fontId="15" fillId="3" borderId="8" xfId="5" applyNumberFormat="1" applyFont="1" applyFill="1" applyBorder="1"/>
    <xf numFmtId="4" fontId="15" fillId="3" borderId="8" xfId="5" applyNumberFormat="1" applyFont="1" applyFill="1" applyBorder="1" applyAlignment="1">
      <alignment horizontal="right"/>
    </xf>
    <xf numFmtId="3" fontId="9" fillId="0" borderId="43" xfId="14" applyNumberFormat="1" applyFont="1" applyBorder="1"/>
    <xf numFmtId="3" fontId="15" fillId="3" borderId="27" xfId="5" applyNumberFormat="1" applyFont="1" applyFill="1" applyBorder="1"/>
    <xf numFmtId="3" fontId="15" fillId="3" borderId="27" xfId="5" applyNumberFormat="1" applyFont="1" applyFill="1" applyBorder="1" applyAlignment="1">
      <alignment horizontal="right"/>
    </xf>
    <xf numFmtId="3" fontId="15" fillId="3" borderId="38" xfId="5" applyNumberFormat="1" applyFont="1" applyFill="1" applyBorder="1"/>
    <xf numFmtId="4" fontId="15" fillId="6" borderId="67" xfId="5" applyNumberFormat="1" applyFont="1" applyFill="1" applyBorder="1"/>
    <xf numFmtId="3" fontId="0" fillId="0" borderId="1" xfId="0" applyNumberFormat="1" applyBorder="1"/>
    <xf numFmtId="4" fontId="9" fillId="0" borderId="65" xfId="0" applyNumberFormat="1" applyFont="1" applyBorder="1"/>
    <xf numFmtId="4" fontId="28" fillId="0" borderId="10" xfId="5" applyNumberFormat="1" applyFont="1" applyBorder="1"/>
    <xf numFmtId="4" fontId="15" fillId="3" borderId="11" xfId="5" applyNumberFormat="1" applyFont="1" applyFill="1" applyBorder="1"/>
    <xf numFmtId="4" fontId="15" fillId="3" borderId="12" xfId="5" applyNumberFormat="1" applyFont="1" applyFill="1" applyBorder="1"/>
    <xf numFmtId="2" fontId="5" fillId="0" borderId="0" xfId="9" applyNumberFormat="1"/>
    <xf numFmtId="3" fontId="37" fillId="9" borderId="1" xfId="14" applyNumberFormat="1" applyFont="1" applyFill="1" applyBorder="1"/>
    <xf numFmtId="3" fontId="8" fillId="9" borderId="5" xfId="5" applyNumberFormat="1" applyFont="1" applyFill="1" applyBorder="1"/>
    <xf numFmtId="0" fontId="28" fillId="9" borderId="8" xfId="9" applyFont="1" applyFill="1" applyBorder="1" applyAlignment="1">
      <alignment horizontal="center"/>
    </xf>
    <xf numFmtId="0" fontId="28" fillId="9" borderId="1" xfId="9" applyFont="1" applyFill="1" applyBorder="1" applyAlignment="1">
      <alignment horizontal="center"/>
    </xf>
    <xf numFmtId="0" fontId="28" fillId="9" borderId="27" xfId="9" applyFont="1" applyFill="1" applyBorder="1"/>
    <xf numFmtId="0" fontId="28" fillId="9" borderId="9" xfId="9" applyFont="1" applyFill="1" applyBorder="1"/>
    <xf numFmtId="2" fontId="25" fillId="5" borderId="64" xfId="9" applyNumberFormat="1" applyFont="1" applyFill="1" applyBorder="1"/>
    <xf numFmtId="2" fontId="38" fillId="0" borderId="0" xfId="5" applyNumberFormat="1" applyFont="1"/>
    <xf numFmtId="2" fontId="9" fillId="0" borderId="5" xfId="0" applyNumberFormat="1" applyFont="1" applyBorder="1"/>
    <xf numFmtId="2" fontId="9" fillId="0" borderId="1" xfId="0" applyNumberFormat="1" applyFont="1" applyBorder="1"/>
    <xf numFmtId="2" fontId="9" fillId="0" borderId="12" xfId="0" applyNumberFormat="1" applyFont="1" applyBorder="1"/>
    <xf numFmtId="0" fontId="9" fillId="9" borderId="1" xfId="9" applyFont="1" applyFill="1" applyBorder="1" applyAlignment="1">
      <alignment horizontal="center"/>
    </xf>
    <xf numFmtId="1" fontId="9" fillId="9" borderId="1" xfId="9" applyNumberFormat="1" applyFont="1" applyFill="1" applyBorder="1" applyAlignment="1">
      <alignment horizontal="center"/>
    </xf>
    <xf numFmtId="0" fontId="28" fillId="9" borderId="1" xfId="9" applyFont="1" applyFill="1" applyBorder="1"/>
    <xf numFmtId="2" fontId="25" fillId="5" borderId="19" xfId="9" applyNumberFormat="1" applyFont="1" applyFill="1" applyBorder="1"/>
    <xf numFmtId="2" fontId="37" fillId="0" borderId="0" xfId="5" applyNumberFormat="1" applyFont="1"/>
    <xf numFmtId="2" fontId="37" fillId="0" borderId="7" xfId="14" applyNumberFormat="1" applyFont="1" applyBorder="1"/>
    <xf numFmtId="2" fontId="37" fillId="0" borderId="10" xfId="14" applyNumberFormat="1" applyFont="1" applyBorder="1"/>
    <xf numFmtId="2" fontId="15" fillId="3" borderId="26" xfId="9" applyNumberFormat="1" applyFont="1" applyFill="1" applyBorder="1"/>
    <xf numFmtId="0" fontId="9" fillId="9" borderId="9" xfId="9" applyFont="1" applyFill="1" applyBorder="1"/>
    <xf numFmtId="2" fontId="15" fillId="3" borderId="25" xfId="9" applyNumberFormat="1" applyFont="1" applyFill="1" applyBorder="1"/>
    <xf numFmtId="2" fontId="15" fillId="3" borderId="26" xfId="9" applyNumberFormat="1" applyFont="1" applyFill="1" applyBorder="1" applyAlignment="1">
      <alignment horizontal="right"/>
    </xf>
    <xf numFmtId="0" fontId="9" fillId="9" borderId="8" xfId="9" applyFont="1" applyFill="1" applyBorder="1" applyAlignment="1">
      <alignment horizontal="center"/>
    </xf>
    <xf numFmtId="2" fontId="14" fillId="7" borderId="19" xfId="9" applyNumberFormat="1" applyFont="1" applyFill="1" applyBorder="1"/>
    <xf numFmtId="2" fontId="14" fillId="7" borderId="18" xfId="9" applyNumberFormat="1" applyFont="1" applyFill="1" applyBorder="1"/>
    <xf numFmtId="2" fontId="9" fillId="0" borderId="24" xfId="14" applyNumberFormat="1" applyFont="1" applyBorder="1"/>
    <xf numFmtId="2" fontId="9" fillId="0" borderId="1" xfId="5" applyNumberFormat="1" applyFont="1" applyBorder="1"/>
    <xf numFmtId="2" fontId="9" fillId="0" borderId="5" xfId="14" applyNumberFormat="1" applyFont="1" applyBorder="1"/>
    <xf numFmtId="2" fontId="13" fillId="3" borderId="26" xfId="9" applyNumberFormat="1" applyFont="1" applyFill="1" applyBorder="1" applyAlignment="1">
      <alignment horizontal="right"/>
    </xf>
    <xf numFmtId="2" fontId="13" fillId="3" borderId="1" xfId="9" applyNumberFormat="1" applyFont="1" applyFill="1" applyBorder="1" applyAlignment="1">
      <alignment horizontal="right"/>
    </xf>
    <xf numFmtId="2" fontId="14" fillId="3" borderId="26" xfId="9" applyNumberFormat="1" applyFont="1" applyFill="1" applyBorder="1"/>
    <xf numFmtId="2" fontId="14" fillId="3" borderId="1" xfId="9" applyNumberFormat="1" applyFont="1" applyFill="1" applyBorder="1"/>
    <xf numFmtId="2" fontId="13" fillId="3" borderId="26" xfId="9" applyNumberFormat="1" applyFont="1" applyFill="1" applyBorder="1"/>
    <xf numFmtId="2" fontId="13" fillId="3" borderId="1" xfId="9" applyNumberFormat="1" applyFont="1" applyFill="1" applyBorder="1"/>
    <xf numFmtId="0" fontId="32" fillId="9" borderId="1" xfId="4" applyFont="1" applyFill="1" applyBorder="1" applyAlignment="1">
      <alignment horizontal="center"/>
    </xf>
    <xf numFmtId="0" fontId="32" fillId="9" borderId="1" xfId="4" applyFont="1" applyFill="1" applyBorder="1"/>
    <xf numFmtId="0" fontId="28" fillId="9" borderId="9" xfId="9" applyFont="1" applyFill="1" applyBorder="1" applyAlignment="1">
      <alignment horizontal="left"/>
    </xf>
    <xf numFmtId="2" fontId="14" fillId="3" borderId="26" xfId="9" applyNumberFormat="1" applyFont="1" applyFill="1" applyBorder="1" applyAlignment="1">
      <alignment horizontal="right"/>
    </xf>
    <xf numFmtId="2" fontId="14" fillId="3" borderId="1" xfId="9" applyNumberFormat="1" applyFont="1" applyFill="1" applyBorder="1" applyAlignment="1">
      <alignment horizontal="right"/>
    </xf>
    <xf numFmtId="2" fontId="14" fillId="3" borderId="12" xfId="9" applyNumberFormat="1" applyFont="1" applyFill="1" applyBorder="1"/>
    <xf numFmtId="2" fontId="14" fillId="7" borderId="44" xfId="9" applyNumberFormat="1" applyFont="1" applyFill="1" applyBorder="1"/>
    <xf numFmtId="2" fontId="14" fillId="4" borderId="44" xfId="9" applyNumberFormat="1" applyFont="1" applyFill="1" applyBorder="1"/>
    <xf numFmtId="3" fontId="13" fillId="4" borderId="20" xfId="2" applyNumberFormat="1" applyFont="1" applyFill="1" applyBorder="1"/>
    <xf numFmtId="3" fontId="8" fillId="0" borderId="24" xfId="5" applyNumberFormat="1" applyFont="1" applyBorder="1"/>
    <xf numFmtId="3" fontId="13" fillId="3" borderId="8" xfId="2" applyNumberFormat="1" applyFont="1" applyFill="1" applyBorder="1"/>
    <xf numFmtId="4" fontId="37" fillId="0" borderId="7" xfId="5" applyNumberFormat="1" applyFont="1" applyBorder="1"/>
    <xf numFmtId="4" fontId="37" fillId="0" borderId="10" xfId="5" applyNumberFormat="1" applyFont="1" applyBorder="1"/>
    <xf numFmtId="3" fontId="13" fillId="3" borderId="25" xfId="2" applyNumberFormat="1" applyFont="1" applyFill="1" applyBorder="1"/>
    <xf numFmtId="4" fontId="13" fillId="3" borderId="26" xfId="2" applyNumberFormat="1" applyFont="1" applyFill="1" applyBorder="1"/>
    <xf numFmtId="4" fontId="23" fillId="8" borderId="18" xfId="14" applyNumberFormat="1" applyFont="1" applyFill="1" applyBorder="1" applyAlignment="1">
      <alignment horizontal="center"/>
    </xf>
    <xf numFmtId="3" fontId="13" fillId="3" borderId="9" xfId="2" applyNumberFormat="1" applyFont="1" applyFill="1" applyBorder="1"/>
    <xf numFmtId="3" fontId="9" fillId="0" borderId="9" xfId="14" applyNumberFormat="1" applyFont="1" applyBorder="1"/>
    <xf numFmtId="4" fontId="13" fillId="3" borderId="8" xfId="2" applyNumberFormat="1" applyFont="1" applyFill="1" applyBorder="1"/>
    <xf numFmtId="4" fontId="13" fillId="3" borderId="25" xfId="2" applyNumberFormat="1" applyFont="1" applyFill="1" applyBorder="1"/>
    <xf numFmtId="0" fontId="8" fillId="0" borderId="6" xfId="0" applyFont="1" applyBorder="1"/>
    <xf numFmtId="3" fontId="14" fillId="3" borderId="8" xfId="0" applyNumberFormat="1" applyFont="1" applyFill="1" applyBorder="1" applyAlignment="1">
      <alignment horizontal="right"/>
    </xf>
    <xf numFmtId="3" fontId="14" fillId="3" borderId="8" xfId="0" applyNumberFormat="1" applyFont="1" applyFill="1" applyBorder="1"/>
    <xf numFmtId="3" fontId="14" fillId="3" borderId="25" xfId="0" applyNumberFormat="1" applyFont="1" applyFill="1" applyBorder="1" applyAlignment="1">
      <alignment horizontal="right"/>
    </xf>
    <xf numFmtId="4" fontId="14" fillId="3" borderId="26" xfId="0" applyNumberFormat="1" applyFont="1" applyFill="1" applyBorder="1" applyAlignment="1">
      <alignment horizontal="right"/>
    </xf>
    <xf numFmtId="3" fontId="14" fillId="3" borderId="11" xfId="0" applyNumberFormat="1" applyFont="1" applyFill="1" applyBorder="1" applyAlignment="1">
      <alignment horizontal="right"/>
    </xf>
    <xf numFmtId="3" fontId="14" fillId="3" borderId="9" xfId="0" applyNumberFormat="1" applyFont="1" applyFill="1" applyBorder="1" applyAlignment="1">
      <alignment horizontal="right"/>
    </xf>
    <xf numFmtId="3" fontId="14" fillId="3" borderId="9" xfId="0" applyNumberFormat="1" applyFont="1" applyFill="1" applyBorder="1"/>
    <xf numFmtId="3" fontId="14" fillId="3" borderId="13" xfId="0" applyNumberFormat="1" applyFont="1" applyFill="1" applyBorder="1" applyAlignment="1">
      <alignment horizontal="right"/>
    </xf>
    <xf numFmtId="3" fontId="14" fillId="4" borderId="42" xfId="0" applyNumberFormat="1" applyFont="1" applyFill="1" applyBorder="1" applyAlignment="1">
      <alignment horizontal="right"/>
    </xf>
    <xf numFmtId="4" fontId="14" fillId="3" borderId="8" xfId="0" applyNumberFormat="1" applyFont="1" applyFill="1" applyBorder="1" applyAlignment="1">
      <alignment horizontal="right"/>
    </xf>
    <xf numFmtId="4" fontId="14" fillId="3" borderId="8" xfId="0" applyNumberFormat="1" applyFont="1" applyFill="1" applyBorder="1"/>
    <xf numFmtId="4" fontId="14" fillId="3" borderId="11" xfId="0" applyNumberFormat="1" applyFont="1" applyFill="1" applyBorder="1" applyAlignment="1">
      <alignment horizontal="right"/>
    </xf>
    <xf numFmtId="4" fontId="14" fillId="4" borderId="35" xfId="0" applyNumberFormat="1" applyFont="1" applyFill="1" applyBorder="1" applyAlignment="1">
      <alignment horizontal="right"/>
    </xf>
    <xf numFmtId="4" fontId="14" fillId="4" borderId="41" xfId="0" applyNumberFormat="1" applyFont="1" applyFill="1" applyBorder="1" applyAlignment="1">
      <alignment horizontal="right"/>
    </xf>
    <xf numFmtId="3" fontId="14" fillId="3" borderId="25" xfId="0" applyNumberFormat="1" applyFont="1" applyFill="1" applyBorder="1"/>
    <xf numFmtId="4" fontId="14" fillId="3" borderId="26" xfId="0" applyNumberFormat="1" applyFont="1" applyFill="1" applyBorder="1"/>
    <xf numFmtId="3" fontId="14" fillId="4" borderId="22" xfId="0" applyNumberFormat="1" applyFont="1" applyFill="1" applyBorder="1"/>
    <xf numFmtId="3" fontId="14" fillId="3" borderId="29" xfId="0" applyNumberFormat="1" applyFont="1" applyFill="1" applyBorder="1"/>
    <xf numFmtId="3" fontId="14" fillId="4" borderId="20" xfId="0" applyNumberFormat="1" applyFont="1" applyFill="1" applyBorder="1"/>
    <xf numFmtId="4" fontId="14" fillId="3" borderId="11" xfId="0" applyNumberFormat="1" applyFont="1" applyFill="1" applyBorder="1"/>
    <xf numFmtId="4" fontId="14" fillId="4" borderId="35" xfId="0" applyNumberFormat="1" applyFont="1" applyFill="1" applyBorder="1"/>
    <xf numFmtId="4" fontId="14" fillId="4" borderId="41" xfId="0" applyNumberFormat="1" applyFont="1" applyFill="1" applyBorder="1"/>
    <xf numFmtId="2" fontId="37" fillId="0" borderId="65" xfId="14" applyNumberFormat="1" applyFont="1" applyBorder="1"/>
    <xf numFmtId="2" fontId="15" fillId="3" borderId="10" xfId="9" applyNumberFormat="1" applyFont="1" applyFill="1" applyBorder="1"/>
    <xf numFmtId="2" fontId="25" fillId="3" borderId="10" xfId="9" applyNumberFormat="1" applyFont="1" applyFill="1" applyBorder="1"/>
    <xf numFmtId="3" fontId="37" fillId="9" borderId="8" xfId="14" applyNumberFormat="1" applyFont="1" applyFill="1" applyBorder="1"/>
    <xf numFmtId="2" fontId="37" fillId="9" borderId="10" xfId="14" applyNumberFormat="1" applyFont="1" applyFill="1" applyBorder="1"/>
    <xf numFmtId="3" fontId="25" fillId="3" borderId="25" xfId="9" applyNumberFormat="1" applyFont="1" applyFill="1" applyBorder="1"/>
    <xf numFmtId="2" fontId="25" fillId="3" borderId="26" xfId="9" applyNumberFormat="1" applyFont="1" applyFill="1" applyBorder="1"/>
    <xf numFmtId="2" fontId="9" fillId="0" borderId="7" xfId="0" applyNumberFormat="1" applyFont="1" applyBorder="1"/>
    <xf numFmtId="2" fontId="9" fillId="0" borderId="10" xfId="0" applyNumberFormat="1" applyFont="1" applyBorder="1"/>
    <xf numFmtId="2" fontId="9" fillId="0" borderId="14" xfId="0" applyNumberFormat="1" applyFont="1" applyBorder="1"/>
    <xf numFmtId="3" fontId="9" fillId="0" borderId="30" xfId="14" applyNumberFormat="1" applyFont="1" applyBorder="1"/>
    <xf numFmtId="3" fontId="25" fillId="3" borderId="13" xfId="9" applyNumberFormat="1" applyFont="1" applyFill="1" applyBorder="1"/>
    <xf numFmtId="3" fontId="25" fillId="5" borderId="42" xfId="9" applyNumberFormat="1" applyFont="1" applyFill="1" applyBorder="1"/>
    <xf numFmtId="4" fontId="9" fillId="9" borderId="23" xfId="14" applyNumberFormat="1" applyFont="1" applyFill="1" applyBorder="1"/>
    <xf numFmtId="4" fontId="15" fillId="3" borderId="8" xfId="9" applyNumberFormat="1" applyFont="1" applyFill="1" applyBorder="1"/>
    <xf numFmtId="4" fontId="25" fillId="3" borderId="8" xfId="9" applyNumberFormat="1" applyFont="1" applyFill="1" applyBorder="1"/>
    <xf numFmtId="4" fontId="25" fillId="3" borderId="11" xfId="9" applyNumberFormat="1" applyFont="1" applyFill="1" applyBorder="1"/>
    <xf numFmtId="4" fontId="25" fillId="5" borderId="35" xfId="9" applyNumberFormat="1" applyFont="1" applyFill="1" applyBorder="1"/>
    <xf numFmtId="4" fontId="25" fillId="5" borderId="41" xfId="9" applyNumberFormat="1" applyFont="1" applyFill="1" applyBorder="1"/>
    <xf numFmtId="2" fontId="15" fillId="3" borderId="10" xfId="9" applyNumberFormat="1" applyFont="1" applyFill="1" applyBorder="1" applyAlignment="1">
      <alignment horizontal="right"/>
    </xf>
    <xf numFmtId="4" fontId="15" fillId="3" borderId="8" xfId="9" applyNumberFormat="1" applyFont="1" applyFill="1" applyBorder="1" applyAlignment="1">
      <alignment horizontal="right"/>
    </xf>
    <xf numFmtId="3" fontId="14" fillId="7" borderId="20" xfId="9" applyNumberFormat="1" applyFont="1" applyFill="1" applyBorder="1"/>
    <xf numFmtId="4" fontId="9" fillId="0" borderId="4" xfId="14" applyNumberFormat="1" applyFont="1" applyBorder="1"/>
    <xf numFmtId="2" fontId="15" fillId="3" borderId="8" xfId="9" applyNumberFormat="1" applyFont="1" applyFill="1" applyBorder="1"/>
    <xf numFmtId="2" fontId="15" fillId="3" borderId="8" xfId="9" applyNumberFormat="1" applyFont="1" applyFill="1" applyBorder="1" applyAlignment="1">
      <alignment horizontal="right"/>
    </xf>
    <xf numFmtId="4" fontId="14" fillId="7" borderId="17" xfId="9" applyNumberFormat="1" applyFont="1" applyFill="1" applyBorder="1"/>
    <xf numFmtId="3" fontId="15" fillId="3" borderId="4" xfId="9" applyNumberFormat="1" applyFont="1" applyFill="1" applyBorder="1"/>
    <xf numFmtId="2" fontId="14" fillId="3" borderId="14" xfId="9" applyNumberFormat="1" applyFont="1" applyFill="1" applyBorder="1"/>
    <xf numFmtId="3" fontId="13" fillId="3" borderId="9" xfId="9" applyNumberFormat="1" applyFont="1" applyFill="1" applyBorder="1" applyAlignment="1">
      <alignment horizontal="right"/>
    </xf>
    <xf numFmtId="3" fontId="14" fillId="3" borderId="9" xfId="9" applyNumberFormat="1" applyFont="1" applyFill="1" applyBorder="1"/>
    <xf numFmtId="3" fontId="13" fillId="3" borderId="9" xfId="9" applyNumberFormat="1" applyFont="1" applyFill="1" applyBorder="1"/>
    <xf numFmtId="3" fontId="14" fillId="3" borderId="9" xfId="9" applyNumberFormat="1" applyFont="1" applyFill="1" applyBorder="1" applyAlignment="1">
      <alignment horizontal="right"/>
    </xf>
    <xf numFmtId="3" fontId="14" fillId="3" borderId="13" xfId="9" applyNumberFormat="1" applyFont="1" applyFill="1" applyBorder="1"/>
    <xf numFmtId="3" fontId="14" fillId="7" borderId="56" xfId="9" applyNumberFormat="1" applyFont="1" applyFill="1" applyBorder="1"/>
    <xf numFmtId="2" fontId="9" fillId="0" borderId="8" xfId="5" applyNumberFormat="1" applyFont="1" applyBorder="1"/>
    <xf numFmtId="2" fontId="13" fillId="3" borderId="8" xfId="9" applyNumberFormat="1" applyFont="1" applyFill="1" applyBorder="1" applyAlignment="1">
      <alignment horizontal="right"/>
    </xf>
    <xf numFmtId="2" fontId="14" fillId="3" borderId="8" xfId="9" applyNumberFormat="1" applyFont="1" applyFill="1" applyBorder="1"/>
    <xf numFmtId="2" fontId="13" fillId="3" borderId="8" xfId="9" applyNumberFormat="1" applyFont="1" applyFill="1" applyBorder="1"/>
    <xf numFmtId="2" fontId="14" fillId="3" borderId="8" xfId="9" applyNumberFormat="1" applyFont="1" applyFill="1" applyBorder="1" applyAlignment="1">
      <alignment horizontal="right"/>
    </xf>
    <xf numFmtId="2" fontId="14" fillId="3" borderId="11" xfId="9" applyNumberFormat="1" applyFont="1" applyFill="1" applyBorder="1"/>
    <xf numFmtId="0" fontId="16" fillId="0" borderId="57" xfId="0" applyFont="1" applyBorder="1"/>
    <xf numFmtId="0" fontId="16" fillId="0" borderId="3" xfId="0" applyFont="1" applyBorder="1"/>
    <xf numFmtId="0" fontId="16" fillId="0" borderId="69" xfId="0" applyFont="1" applyBorder="1"/>
    <xf numFmtId="0" fontId="16" fillId="0" borderId="37" xfId="0" applyFont="1" applyBorder="1"/>
    <xf numFmtId="3" fontId="37" fillId="0" borderId="23" xfId="5" applyNumberFormat="1" applyFont="1" applyBorder="1"/>
    <xf numFmtId="3" fontId="37" fillId="0" borderId="24" xfId="5" applyNumberFormat="1" applyFont="1" applyBorder="1"/>
    <xf numFmtId="3" fontId="37" fillId="0" borderId="43" xfId="5" applyNumberFormat="1" applyFont="1" applyBorder="1"/>
    <xf numFmtId="3" fontId="9" fillId="0" borderId="35" xfId="0" applyNumberFormat="1" applyFont="1" applyBorder="1"/>
    <xf numFmtId="4" fontId="37" fillId="0" borderId="24" xfId="5" applyNumberFormat="1" applyFont="1" applyBorder="1"/>
    <xf numFmtId="4" fontId="37" fillId="0" borderId="65" xfId="5" applyNumberFormat="1" applyFont="1" applyBorder="1"/>
    <xf numFmtId="4" fontId="37" fillId="0" borderId="0" xfId="5" applyNumberFormat="1" applyFont="1" applyAlignment="1">
      <alignment horizontal="center"/>
    </xf>
    <xf numFmtId="4" fontId="9" fillId="0" borderId="0" xfId="0" applyNumberFormat="1" applyFont="1"/>
    <xf numFmtId="3" fontId="37" fillId="0" borderId="30" xfId="5" applyNumberFormat="1" applyFont="1" applyBorder="1"/>
    <xf numFmtId="3" fontId="37" fillId="0" borderId="9" xfId="5" applyNumberFormat="1" applyFont="1" applyBorder="1"/>
    <xf numFmtId="4" fontId="37" fillId="0" borderId="23" xfId="5" applyNumberFormat="1" applyFont="1" applyBorder="1"/>
    <xf numFmtId="4" fontId="37" fillId="0" borderId="8" xfId="5" applyNumberFormat="1" applyFont="1" applyBorder="1"/>
    <xf numFmtId="3" fontId="37" fillId="0" borderId="0" xfId="14" applyNumberFormat="1" applyFont="1" applyAlignment="1">
      <alignment horizontal="center"/>
    </xf>
    <xf numFmtId="4" fontId="37" fillId="0" borderId="30" xfId="14" applyNumberFormat="1" applyFont="1" applyBorder="1"/>
    <xf numFmtId="4" fontId="14" fillId="3" borderId="45" xfId="14" applyNumberFormat="1" applyFont="1" applyFill="1" applyBorder="1"/>
    <xf numFmtId="4" fontId="14" fillId="3" borderId="45" xfId="14" applyNumberFormat="1" applyFont="1" applyFill="1" applyBorder="1" applyAlignment="1">
      <alignment horizontal="right"/>
    </xf>
    <xf numFmtId="4" fontId="38" fillId="3" borderId="45" xfId="14" applyNumberFormat="1" applyFont="1" applyFill="1" applyBorder="1"/>
    <xf numFmtId="4" fontId="14" fillId="3" borderId="70" xfId="14" applyNumberFormat="1" applyFont="1" applyFill="1" applyBorder="1"/>
    <xf numFmtId="4" fontId="40" fillId="7" borderId="56" xfId="14" applyNumberFormat="1" applyFont="1" applyFill="1" applyBorder="1"/>
    <xf numFmtId="3" fontId="14" fillId="3" borderId="25" xfId="14" applyNumberFormat="1" applyFont="1" applyFill="1" applyBorder="1"/>
    <xf numFmtId="3" fontId="40" fillId="7" borderId="17" xfId="14" applyNumberFormat="1" applyFont="1" applyFill="1" applyBorder="1"/>
    <xf numFmtId="3" fontId="40" fillId="7" borderId="18" xfId="14" applyNumberFormat="1" applyFont="1" applyFill="1" applyBorder="1"/>
    <xf numFmtId="3" fontId="10" fillId="0" borderId="0" xfId="0" applyNumberFormat="1" applyFont="1" applyAlignment="1">
      <alignment horizontal="right"/>
    </xf>
    <xf numFmtId="3" fontId="37" fillId="9" borderId="5" xfId="14" applyNumberFormat="1" applyFont="1" applyFill="1" applyBorder="1"/>
    <xf numFmtId="4" fontId="14" fillId="3" borderId="28" xfId="14" applyNumberFormat="1" applyFont="1" applyFill="1" applyBorder="1"/>
    <xf numFmtId="4" fontId="14" fillId="3" borderId="21" xfId="14" applyNumberFormat="1" applyFont="1" applyFill="1" applyBorder="1"/>
    <xf numFmtId="4" fontId="14" fillId="3" borderId="21" xfId="14" applyNumberFormat="1" applyFont="1" applyFill="1" applyBorder="1" applyAlignment="1">
      <alignment horizontal="right"/>
    </xf>
    <xf numFmtId="4" fontId="38" fillId="3" borderId="21" xfId="14" applyNumberFormat="1" applyFont="1" applyFill="1" applyBorder="1"/>
    <xf numFmtId="3" fontId="10" fillId="10" borderId="0" xfId="0" applyNumberFormat="1" applyFont="1" applyFill="1" applyAlignment="1">
      <alignment horizontal="right"/>
    </xf>
    <xf numFmtId="3" fontId="14" fillId="3" borderId="9" xfId="14" applyNumberFormat="1" applyFont="1" applyFill="1" applyBorder="1"/>
    <xf numFmtId="3" fontId="14" fillId="3" borderId="9" xfId="14" applyNumberFormat="1" applyFont="1" applyFill="1" applyBorder="1" applyAlignment="1">
      <alignment horizontal="right"/>
    </xf>
    <xf numFmtId="3" fontId="38" fillId="3" borderId="9" xfId="14" applyNumberFormat="1" applyFont="1" applyFill="1" applyBorder="1"/>
    <xf numFmtId="3" fontId="14" fillId="3" borderId="29" xfId="14" applyNumberFormat="1" applyFont="1" applyFill="1" applyBorder="1"/>
    <xf numFmtId="3" fontId="40" fillId="7" borderId="20" xfId="14" applyNumberFormat="1" applyFont="1" applyFill="1" applyBorder="1"/>
    <xf numFmtId="4" fontId="14" fillId="3" borderId="25" xfId="14" applyNumberFormat="1" applyFont="1" applyFill="1" applyBorder="1"/>
    <xf numFmtId="4" fontId="9" fillId="0" borderId="8" xfId="14" applyNumberFormat="1" applyFont="1" applyBorder="1"/>
    <xf numFmtId="4" fontId="14" fillId="3" borderId="25" xfId="14" applyNumberFormat="1" applyFont="1" applyFill="1" applyBorder="1" applyAlignment="1">
      <alignment horizontal="right"/>
    </xf>
    <xf numFmtId="4" fontId="38" fillId="3" borderId="25" xfId="14" applyNumberFormat="1" applyFont="1" applyFill="1" applyBorder="1"/>
    <xf numFmtId="4" fontId="14" fillId="3" borderId="35" xfId="14" applyNumberFormat="1" applyFont="1" applyFill="1" applyBorder="1"/>
    <xf numFmtId="4" fontId="40" fillId="7" borderId="35" xfId="14" applyNumberFormat="1" applyFont="1" applyFill="1" applyBorder="1"/>
    <xf numFmtId="0" fontId="1" fillId="0" borderId="0" xfId="5" applyFont="1" applyAlignment="1">
      <alignment horizontal="center"/>
    </xf>
    <xf numFmtId="3" fontId="1" fillId="0" borderId="0" xfId="9" applyNumberFormat="1" applyFont="1"/>
    <xf numFmtId="2" fontId="1" fillId="0" borderId="0" xfId="9" applyNumberFormat="1" applyFont="1"/>
    <xf numFmtId="4" fontId="1" fillId="0" borderId="0" xfId="9" applyNumberFormat="1" applyFont="1"/>
    <xf numFmtId="4" fontId="23" fillId="8" borderId="60" xfId="14" applyNumberFormat="1" applyFont="1" applyFill="1" applyBorder="1" applyAlignment="1">
      <alignment horizontal="center"/>
    </xf>
    <xf numFmtId="4" fontId="23" fillId="8" borderId="22" xfId="14" applyNumberFormat="1" applyFont="1" applyFill="1" applyBorder="1" applyAlignment="1">
      <alignment horizontal="center"/>
    </xf>
    <xf numFmtId="4" fontId="9" fillId="0" borderId="43" xfId="14" applyNumberFormat="1" applyFont="1" applyBorder="1"/>
    <xf numFmtId="4" fontId="15" fillId="3" borderId="27" xfId="9" applyNumberFormat="1" applyFont="1" applyFill="1" applyBorder="1"/>
    <xf numFmtId="4" fontId="9" fillId="0" borderId="27" xfId="14" applyNumberFormat="1" applyFont="1" applyBorder="1"/>
    <xf numFmtId="4" fontId="25" fillId="3" borderId="27" xfId="9" applyNumberFormat="1" applyFont="1" applyFill="1" applyBorder="1"/>
    <xf numFmtId="4" fontId="25" fillId="3" borderId="38" xfId="9" applyNumberFormat="1" applyFont="1" applyFill="1" applyBorder="1"/>
    <xf numFmtId="4" fontId="14" fillId="7" borderId="60" xfId="9" applyNumberFormat="1" applyFont="1" applyFill="1" applyBorder="1"/>
    <xf numFmtId="3" fontId="1" fillId="0" borderId="0" xfId="9" applyNumberFormat="1" applyFont="1" applyAlignment="1">
      <alignment horizontal="right"/>
    </xf>
    <xf numFmtId="2" fontId="1" fillId="0" borderId="0" xfId="9" applyNumberFormat="1" applyFont="1" applyAlignment="1">
      <alignment horizontal="right"/>
    </xf>
    <xf numFmtId="2" fontId="9" fillId="0" borderId="4" xfId="14" applyNumberFormat="1" applyFont="1" applyBorder="1"/>
    <xf numFmtId="2" fontId="14" fillId="7" borderId="17" xfId="9" applyNumberFormat="1" applyFont="1" applyFill="1" applyBorder="1"/>
    <xf numFmtId="4" fontId="9" fillId="0" borderId="30" xfId="14" applyNumberFormat="1" applyFont="1" applyBorder="1"/>
    <xf numFmtId="4" fontId="9" fillId="0" borderId="9" xfId="14" applyNumberFormat="1" applyFont="1" applyBorder="1"/>
    <xf numFmtId="4" fontId="15" fillId="3" borderId="9" xfId="5" applyNumberFormat="1" applyFont="1" applyFill="1" applyBorder="1"/>
    <xf numFmtId="4" fontId="15" fillId="3" borderId="9" xfId="5" applyNumberFormat="1" applyFont="1" applyFill="1" applyBorder="1" applyAlignment="1">
      <alignment horizontal="right"/>
    </xf>
    <xf numFmtId="4" fontId="15" fillId="3" borderId="13" xfId="5" applyNumberFormat="1" applyFont="1" applyFill="1" applyBorder="1"/>
    <xf numFmtId="3" fontId="23" fillId="8" borderId="33" xfId="14" applyNumberFormat="1" applyFont="1" applyFill="1" applyBorder="1" applyAlignment="1">
      <alignment horizontal="center"/>
    </xf>
    <xf numFmtId="4" fontId="23" fillId="8" borderId="71" xfId="14" applyNumberFormat="1" applyFont="1" applyFill="1" applyBorder="1" applyAlignment="1">
      <alignment horizontal="center"/>
    </xf>
    <xf numFmtId="4" fontId="15" fillId="6" borderId="41" xfId="5" applyNumberFormat="1" applyFont="1" applyFill="1" applyBorder="1"/>
    <xf numFmtId="4" fontId="23" fillId="8" borderId="31" xfId="14" applyNumberFormat="1" applyFont="1" applyFill="1" applyBorder="1" applyAlignment="1">
      <alignment horizontal="center"/>
    </xf>
    <xf numFmtId="4" fontId="23" fillId="8" borderId="32" xfId="14" applyNumberFormat="1" applyFont="1" applyFill="1" applyBorder="1" applyAlignment="1">
      <alignment horizontal="center"/>
    </xf>
    <xf numFmtId="3" fontId="13" fillId="4" borderId="35" xfId="0" applyNumberFormat="1" applyFont="1" applyFill="1" applyBorder="1" applyAlignment="1">
      <alignment horizontal="right"/>
    </xf>
    <xf numFmtId="3" fontId="13" fillId="4" borderId="44" xfId="0" applyNumberFormat="1" applyFont="1" applyFill="1" applyBorder="1" applyAlignment="1">
      <alignment horizontal="right"/>
    </xf>
    <xf numFmtId="4" fontId="13" fillId="4" borderId="67" xfId="0" applyNumberFormat="1" applyFont="1" applyFill="1" applyBorder="1" applyAlignment="1">
      <alignment horizontal="right"/>
    </xf>
    <xf numFmtId="3" fontId="13" fillId="4" borderId="62" xfId="0" applyNumberFormat="1" applyFont="1" applyFill="1" applyBorder="1" applyAlignment="1">
      <alignment horizontal="right"/>
    </xf>
    <xf numFmtId="3" fontId="13" fillId="4" borderId="56" xfId="0" applyNumberFormat="1" applyFont="1" applyFill="1" applyBorder="1" applyAlignment="1">
      <alignment horizontal="right"/>
    </xf>
    <xf numFmtId="4" fontId="13" fillId="4" borderId="35" xfId="0" applyNumberFormat="1" applyFont="1" applyFill="1" applyBorder="1" applyAlignment="1">
      <alignment horizontal="right"/>
    </xf>
    <xf numFmtId="4" fontId="13" fillId="4" borderId="44" xfId="0" applyNumberFormat="1" applyFont="1" applyFill="1" applyBorder="1" applyAlignment="1">
      <alignment horizontal="right"/>
    </xf>
    <xf numFmtId="3" fontId="37" fillId="0" borderId="11" xfId="5" applyNumberFormat="1" applyFont="1" applyBorder="1"/>
    <xf numFmtId="3" fontId="37" fillId="0" borderId="12" xfId="5" applyNumberFormat="1" applyFont="1" applyBorder="1"/>
    <xf numFmtId="3" fontId="16" fillId="4" borderId="31" xfId="0" applyNumberFormat="1" applyFont="1" applyFill="1" applyBorder="1"/>
    <xf numFmtId="3" fontId="16" fillId="4" borderId="32" xfId="0" applyNumberFormat="1" applyFont="1" applyFill="1" applyBorder="1"/>
    <xf numFmtId="4" fontId="16" fillId="4" borderId="71" xfId="0" applyNumberFormat="1" applyFont="1" applyFill="1" applyBorder="1"/>
    <xf numFmtId="3" fontId="16" fillId="4" borderId="51" xfId="0" applyNumberFormat="1" applyFont="1" applyFill="1" applyBorder="1"/>
    <xf numFmtId="3" fontId="16" fillId="4" borderId="33" xfId="0" applyNumberFormat="1" applyFont="1" applyFill="1" applyBorder="1"/>
    <xf numFmtId="4" fontId="16" fillId="4" borderId="31" xfId="0" applyNumberFormat="1" applyFont="1" applyFill="1" applyBorder="1"/>
    <xf numFmtId="4" fontId="16" fillId="4" borderId="32" xfId="0" applyNumberFormat="1" applyFont="1" applyFill="1" applyBorder="1"/>
    <xf numFmtId="3" fontId="9" fillId="0" borderId="23" xfId="0" applyNumberFormat="1" applyFont="1" applyBorder="1"/>
    <xf numFmtId="3" fontId="9" fillId="0" borderId="43" xfId="0" applyNumberFormat="1" applyFont="1" applyBorder="1"/>
    <xf numFmtId="3" fontId="37" fillId="0" borderId="38" xfId="5" applyNumberFormat="1" applyFont="1" applyBorder="1"/>
    <xf numFmtId="3" fontId="37" fillId="0" borderId="13" xfId="5" applyNumberFormat="1" applyFont="1" applyBorder="1"/>
    <xf numFmtId="3" fontId="9" fillId="0" borderId="30" xfId="0" applyNumberFormat="1" applyFont="1" applyBorder="1"/>
    <xf numFmtId="4" fontId="10" fillId="0" borderId="0" xfId="0" applyNumberFormat="1" applyFont="1" applyAlignment="1">
      <alignment horizontal="right"/>
    </xf>
    <xf numFmtId="4" fontId="37" fillId="0" borderId="12" xfId="5" applyNumberFormat="1" applyFont="1" applyBorder="1"/>
    <xf numFmtId="4" fontId="9" fillId="0" borderId="24" xfId="0" applyNumberFormat="1" applyFont="1" applyBorder="1"/>
    <xf numFmtId="4" fontId="37" fillId="0" borderId="11" xfId="5" applyNumberFormat="1" applyFont="1" applyBorder="1"/>
    <xf numFmtId="4" fontId="37" fillId="0" borderId="14" xfId="5" applyNumberFormat="1" applyFont="1" applyBorder="1"/>
    <xf numFmtId="4" fontId="9" fillId="0" borderId="23" xfId="0" applyNumberFormat="1" applyFont="1" applyBorder="1"/>
    <xf numFmtId="0" fontId="37" fillId="10" borderId="0" xfId="14" applyFont="1" applyFill="1" applyAlignment="1">
      <alignment horizontal="center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vertical="center"/>
    </xf>
    <xf numFmtId="0" fontId="47" fillId="0" borderId="0" xfId="7" applyFont="1"/>
    <xf numFmtId="0" fontId="12" fillId="0" borderId="0" xfId="7"/>
    <xf numFmtId="0" fontId="17" fillId="0" borderId="0" xfId="0" applyFont="1"/>
    <xf numFmtId="4" fontId="18" fillId="5" borderId="57" xfId="0" applyNumberFormat="1" applyFont="1" applyFill="1" applyBorder="1" applyAlignment="1">
      <alignment horizontal="center" vertical="center"/>
    </xf>
    <xf numFmtId="4" fontId="18" fillId="5" borderId="58" xfId="0" applyNumberFormat="1" applyFont="1" applyFill="1" applyBorder="1" applyAlignment="1">
      <alignment horizontal="center" vertical="center"/>
    </xf>
    <xf numFmtId="4" fontId="18" fillId="5" borderId="59" xfId="0" applyNumberFormat="1" applyFont="1" applyFill="1" applyBorder="1" applyAlignment="1">
      <alignment horizontal="center" vertical="center"/>
    </xf>
    <xf numFmtId="3" fontId="24" fillId="5" borderId="0" xfId="0" applyNumberFormat="1" applyFont="1" applyFill="1" applyAlignment="1">
      <alignment horizontal="center" vertical="center" wrapText="1"/>
    </xf>
    <xf numFmtId="3" fontId="24" fillId="5" borderId="66" xfId="0" applyNumberFormat="1" applyFont="1" applyFill="1" applyBorder="1" applyAlignment="1">
      <alignment horizontal="center" vertical="center" wrapText="1"/>
    </xf>
    <xf numFmtId="3" fontId="24" fillId="5" borderId="36" xfId="0" applyNumberFormat="1" applyFont="1" applyFill="1" applyBorder="1" applyAlignment="1">
      <alignment horizontal="center" vertical="center" wrapText="1"/>
    </xf>
    <xf numFmtId="3" fontId="24" fillId="5" borderId="34" xfId="0" applyNumberFormat="1" applyFont="1" applyFill="1" applyBorder="1" applyAlignment="1">
      <alignment horizontal="center" vertical="center" wrapText="1"/>
    </xf>
    <xf numFmtId="3" fontId="14" fillId="0" borderId="21" xfId="2" applyNumberFormat="1" applyFont="1" applyBorder="1" applyAlignment="1">
      <alignment horizontal="center" vertical="center" wrapText="1"/>
    </xf>
    <xf numFmtId="3" fontId="14" fillId="0" borderId="44" xfId="2" applyNumberFormat="1" applyFont="1" applyBorder="1" applyAlignment="1">
      <alignment horizontal="center" vertical="center" wrapText="1"/>
    </xf>
    <xf numFmtId="3" fontId="24" fillId="5" borderId="33" xfId="0" applyNumberFormat="1" applyFont="1" applyFill="1" applyBorder="1" applyAlignment="1">
      <alignment horizontal="center" vertical="center" wrapText="1"/>
    </xf>
    <xf numFmtId="3" fontId="24" fillId="5" borderId="50" xfId="0" applyNumberFormat="1" applyFont="1" applyFill="1" applyBorder="1" applyAlignment="1">
      <alignment horizontal="center" vertical="center" wrapText="1"/>
    </xf>
    <xf numFmtId="3" fontId="24" fillId="5" borderId="51" xfId="0" applyNumberFormat="1" applyFont="1" applyFill="1" applyBorder="1" applyAlignment="1">
      <alignment horizontal="center" vertical="center" wrapText="1"/>
    </xf>
    <xf numFmtId="3" fontId="24" fillId="5" borderId="6" xfId="0" applyNumberFormat="1" applyFont="1" applyFill="1" applyBorder="1" applyAlignment="1">
      <alignment horizontal="center" vertical="center" wrapText="1"/>
    </xf>
    <xf numFmtId="4" fontId="15" fillId="5" borderId="25" xfId="0" applyNumberFormat="1" applyFont="1" applyFill="1" applyBorder="1" applyAlignment="1">
      <alignment horizontal="center" vertical="center" wrapText="1"/>
    </xf>
    <xf numFmtId="4" fontId="15" fillId="5" borderId="47" xfId="0" applyNumberFormat="1" applyFont="1" applyFill="1" applyBorder="1" applyAlignment="1">
      <alignment horizontal="center" vertical="center" wrapText="1"/>
    </xf>
    <xf numFmtId="4" fontId="15" fillId="5" borderId="35" xfId="0" applyNumberFormat="1" applyFont="1" applyFill="1" applyBorder="1" applyAlignment="1">
      <alignment horizontal="center" vertical="center" wrapText="1"/>
    </xf>
    <xf numFmtId="3" fontId="15" fillId="5" borderId="49" xfId="0" applyNumberFormat="1" applyFont="1" applyFill="1" applyBorder="1" applyAlignment="1">
      <alignment horizontal="center" vertical="center" wrapText="1"/>
    </xf>
    <xf numFmtId="3" fontId="15" fillId="5" borderId="44" xfId="0" applyNumberFormat="1" applyFont="1" applyFill="1" applyBorder="1" applyAlignment="1">
      <alignment horizontal="center" vertical="center" wrapText="1"/>
    </xf>
    <xf numFmtId="3" fontId="25" fillId="0" borderId="21" xfId="0" applyNumberFormat="1" applyFont="1" applyBorder="1" applyAlignment="1">
      <alignment horizontal="center" vertical="center" wrapText="1"/>
    </xf>
    <xf numFmtId="3" fontId="25" fillId="0" borderId="44" xfId="0" applyNumberFormat="1" applyFont="1" applyBorder="1" applyAlignment="1">
      <alignment horizontal="center" vertical="center" wrapText="1"/>
    </xf>
    <xf numFmtId="3" fontId="15" fillId="0" borderId="48" xfId="0" applyNumberFormat="1" applyFont="1" applyBorder="1" applyAlignment="1">
      <alignment horizontal="center" vertical="center" wrapText="1"/>
    </xf>
    <xf numFmtId="3" fontId="15" fillId="0" borderId="56" xfId="0" applyNumberFormat="1" applyFont="1" applyBorder="1" applyAlignment="1">
      <alignment horizontal="center" vertical="center" wrapText="1"/>
    </xf>
    <xf numFmtId="4" fontId="15" fillId="5" borderId="21" xfId="0" applyNumberFormat="1" applyFont="1" applyFill="1" applyBorder="1" applyAlignment="1">
      <alignment horizontal="center" vertical="center" wrapText="1"/>
    </xf>
    <xf numFmtId="4" fontId="15" fillId="5" borderId="49" xfId="0" applyNumberFormat="1" applyFont="1" applyFill="1" applyBorder="1" applyAlignment="1">
      <alignment horizontal="center" vertical="center" wrapText="1"/>
    </xf>
    <xf numFmtId="4" fontId="15" fillId="5" borderId="44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2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center" vertical="center" wrapText="1"/>
    </xf>
    <xf numFmtId="4" fontId="25" fillId="0" borderId="14" xfId="0" applyNumberFormat="1" applyFont="1" applyBorder="1" applyAlignment="1">
      <alignment horizontal="center" vertical="center" wrapText="1"/>
    </xf>
    <xf numFmtId="3" fontId="18" fillId="5" borderId="48" xfId="0" applyNumberFormat="1" applyFont="1" applyFill="1" applyBorder="1" applyAlignment="1">
      <alignment horizontal="center" vertical="center" wrapText="1"/>
    </xf>
    <xf numFmtId="3" fontId="18" fillId="5" borderId="56" xfId="0" applyNumberFormat="1" applyFont="1" applyFill="1" applyBorder="1" applyAlignment="1">
      <alignment horizontal="center" vertical="center" wrapText="1"/>
    </xf>
    <xf numFmtId="3" fontId="15" fillId="5" borderId="5" xfId="2" applyNumberFormat="1" applyFont="1" applyFill="1" applyBorder="1" applyAlignment="1">
      <alignment horizontal="center" vertical="center" wrapText="1"/>
    </xf>
    <xf numFmtId="3" fontId="15" fillId="5" borderId="12" xfId="2" applyNumberFormat="1" applyFont="1" applyFill="1" applyBorder="1" applyAlignment="1">
      <alignment horizontal="center" vertical="center" wrapText="1"/>
    </xf>
    <xf numFmtId="3" fontId="15" fillId="4" borderId="5" xfId="2" applyNumberFormat="1" applyFont="1" applyFill="1" applyBorder="1" applyAlignment="1">
      <alignment horizontal="center" vertical="center" wrapText="1"/>
    </xf>
    <xf numFmtId="3" fontId="15" fillId="4" borderId="12" xfId="2" applyNumberFormat="1" applyFont="1" applyFill="1" applyBorder="1" applyAlignment="1">
      <alignment horizontal="center" vertical="center" wrapText="1"/>
    </xf>
    <xf numFmtId="3" fontId="15" fillId="5" borderId="66" xfId="0" applyNumberFormat="1" applyFont="1" applyFill="1" applyBorder="1" applyAlignment="1">
      <alignment horizontal="center" vertical="center" wrapText="1"/>
    </xf>
    <xf numFmtId="3" fontId="15" fillId="5" borderId="62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 wrapText="1"/>
    </xf>
    <xf numFmtId="3" fontId="25" fillId="0" borderId="62" xfId="0" applyNumberFormat="1" applyFont="1" applyBorder="1" applyAlignment="1">
      <alignment horizontal="center" vertical="center" wrapText="1"/>
    </xf>
    <xf numFmtId="3" fontId="15" fillId="5" borderId="21" xfId="2" applyNumberFormat="1" applyFont="1" applyFill="1" applyBorder="1" applyAlignment="1">
      <alignment horizontal="center" vertical="center" wrapText="1"/>
    </xf>
    <xf numFmtId="3" fontId="15" fillId="5" borderId="44" xfId="2" applyNumberFormat="1" applyFont="1" applyFill="1" applyBorder="1" applyAlignment="1">
      <alignment horizontal="center" vertical="center" wrapText="1"/>
    </xf>
    <xf numFmtId="4" fontId="25" fillId="4" borderId="21" xfId="0" applyNumberFormat="1" applyFont="1" applyFill="1" applyBorder="1" applyAlignment="1">
      <alignment horizontal="center" vertical="center" wrapText="1"/>
    </xf>
    <xf numFmtId="4" fontId="25" fillId="4" borderId="49" xfId="0" applyNumberFormat="1" applyFont="1" applyFill="1" applyBorder="1" applyAlignment="1">
      <alignment horizontal="center" vertical="center" wrapText="1"/>
    </xf>
    <xf numFmtId="4" fontId="25" fillId="4" borderId="44" xfId="0" applyNumberFormat="1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4" fontId="15" fillId="4" borderId="14" xfId="0" applyNumberFormat="1" applyFont="1" applyFill="1" applyBorder="1" applyAlignment="1">
      <alignment horizontal="center" vertical="center" wrapText="1"/>
    </xf>
    <xf numFmtId="3" fontId="45" fillId="4" borderId="53" xfId="0" applyNumberFormat="1" applyFont="1" applyFill="1" applyBorder="1" applyAlignment="1">
      <alignment horizontal="center" wrapText="1"/>
    </xf>
    <xf numFmtId="3" fontId="45" fillId="4" borderId="50" xfId="0" applyNumberFormat="1" applyFont="1" applyFill="1" applyBorder="1" applyAlignment="1">
      <alignment horizontal="center"/>
    </xf>
    <xf numFmtId="3" fontId="45" fillId="4" borderId="52" xfId="0" applyNumberFormat="1" applyFont="1" applyFill="1" applyBorder="1" applyAlignment="1">
      <alignment horizontal="center"/>
    </xf>
    <xf numFmtId="3" fontId="45" fillId="4" borderId="55" xfId="0" applyNumberFormat="1" applyFont="1" applyFill="1" applyBorder="1" applyAlignment="1">
      <alignment horizontal="center"/>
    </xf>
    <xf numFmtId="3" fontId="45" fillId="4" borderId="42" xfId="0" applyNumberFormat="1" applyFont="1" applyFill="1" applyBorder="1" applyAlignment="1">
      <alignment horizontal="center"/>
    </xf>
    <xf numFmtId="3" fontId="45" fillId="4" borderId="41" xfId="0" applyNumberFormat="1" applyFont="1" applyFill="1" applyBorder="1" applyAlignment="1">
      <alignment horizontal="center"/>
    </xf>
    <xf numFmtId="3" fontId="14" fillId="5" borderId="5" xfId="2" applyNumberFormat="1" applyFont="1" applyFill="1" applyBorder="1" applyAlignment="1">
      <alignment horizontal="center" vertical="center" wrapText="1"/>
    </xf>
    <xf numFmtId="3" fontId="14" fillId="5" borderId="12" xfId="2" applyNumberFormat="1" applyFont="1" applyFill="1" applyBorder="1" applyAlignment="1">
      <alignment horizontal="center" vertical="center" wrapText="1"/>
    </xf>
    <xf numFmtId="3" fontId="14" fillId="4" borderId="5" xfId="2" applyNumberFormat="1" applyFont="1" applyFill="1" applyBorder="1" applyAlignment="1">
      <alignment horizontal="center" vertical="center" wrapText="1"/>
    </xf>
    <xf numFmtId="3" fontId="14" fillId="4" borderId="12" xfId="2" applyNumberFormat="1" applyFont="1" applyFill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left"/>
    </xf>
    <xf numFmtId="3" fontId="13" fillId="4" borderId="5" xfId="2" applyNumberFormat="1" applyFont="1" applyFill="1" applyBorder="1" applyAlignment="1">
      <alignment horizontal="center" vertical="center" wrapText="1"/>
    </xf>
    <xf numFmtId="3" fontId="13" fillId="4" borderId="12" xfId="2" applyNumberFormat="1" applyFont="1" applyFill="1" applyBorder="1" applyAlignment="1">
      <alignment horizontal="center" vertical="center" wrapText="1"/>
    </xf>
    <xf numFmtId="3" fontId="13" fillId="4" borderId="4" xfId="2" applyNumberFormat="1" applyFont="1" applyFill="1" applyBorder="1" applyAlignment="1">
      <alignment horizontal="center" vertical="center" wrapText="1"/>
    </xf>
    <xf numFmtId="3" fontId="13" fillId="4" borderId="8" xfId="2" applyNumberFormat="1" applyFont="1" applyFill="1" applyBorder="1" applyAlignment="1">
      <alignment horizontal="center" vertical="center" wrapText="1"/>
    </xf>
    <xf numFmtId="3" fontId="13" fillId="4" borderId="11" xfId="2" applyNumberFormat="1" applyFont="1" applyFill="1" applyBorder="1" applyAlignment="1">
      <alignment horizontal="center" vertical="center" wrapText="1"/>
    </xf>
    <xf numFmtId="3" fontId="24" fillId="5" borderId="37" xfId="0" applyNumberFormat="1" applyFont="1" applyFill="1" applyBorder="1" applyAlignment="1">
      <alignment horizontal="center" vertical="center"/>
    </xf>
    <xf numFmtId="3" fontId="24" fillId="5" borderId="39" xfId="0" applyNumberFormat="1" applyFont="1" applyFill="1" applyBorder="1" applyAlignment="1">
      <alignment horizontal="center" vertical="center"/>
    </xf>
    <xf numFmtId="3" fontId="24" fillId="5" borderId="64" xfId="0" applyNumberFormat="1" applyFont="1" applyFill="1" applyBorder="1" applyAlignment="1">
      <alignment horizontal="center" vertical="center"/>
    </xf>
    <xf numFmtId="3" fontId="15" fillId="0" borderId="30" xfId="0" applyNumberFormat="1" applyFont="1" applyBorder="1" applyAlignment="1">
      <alignment horizontal="left"/>
    </xf>
    <xf numFmtId="3" fontId="15" fillId="0" borderId="58" xfId="0" applyNumberFormat="1" applyFont="1" applyBorder="1" applyAlignment="1">
      <alignment horizontal="left"/>
    </xf>
    <xf numFmtId="3" fontId="15" fillId="4" borderId="31" xfId="2" applyNumberFormat="1" applyFont="1" applyFill="1" applyBorder="1" applyAlignment="1">
      <alignment horizontal="center" vertical="center" wrapText="1"/>
    </xf>
    <xf numFmtId="3" fontId="15" fillId="4" borderId="47" xfId="2" applyNumberFormat="1" applyFont="1" applyFill="1" applyBorder="1" applyAlignment="1">
      <alignment horizontal="center" vertical="center" wrapText="1"/>
    </xf>
    <xf numFmtId="3" fontId="15" fillId="4" borderId="35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5" applyFont="1" applyAlignment="1">
      <alignment horizontal="left"/>
    </xf>
    <xf numFmtId="4" fontId="15" fillId="5" borderId="8" xfId="0" applyNumberFormat="1" applyFont="1" applyFill="1" applyBorder="1" applyAlignment="1">
      <alignment horizontal="center" vertical="center" wrapText="1"/>
    </xf>
    <xf numFmtId="4" fontId="15" fillId="5" borderId="11" xfId="0" applyNumberFormat="1" applyFont="1" applyFill="1" applyBorder="1" applyAlignment="1">
      <alignment horizontal="center" vertical="center" wrapText="1"/>
    </xf>
    <xf numFmtId="3" fontId="18" fillId="5" borderId="33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Border="1" applyAlignment="1">
      <alignment horizontal="center" vertical="center" wrapText="1"/>
    </xf>
    <xf numFmtId="4" fontId="25" fillId="0" borderId="13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left" wrapText="1"/>
    </xf>
  </cellXfs>
  <cellStyles count="24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6" xr:uid="{00000000-0005-0000-0000-000003000000}"/>
    <cellStyle name="Normální 2 3" xfId="7" xr:uid="{00000000-0005-0000-0000-000004000000}"/>
    <cellStyle name="Normální 3" xfId="3" xr:uid="{00000000-0005-0000-0000-000005000000}"/>
    <cellStyle name="Normální 3 2" xfId="9" xr:uid="{00000000-0005-0000-0000-000006000000}"/>
    <cellStyle name="Normální 3 2 2" xfId="13" xr:uid="{6066B6DD-C924-4CAE-BEC1-CF19621A073D}"/>
    <cellStyle name="Normální 3 2 2 2" xfId="23" xr:uid="{7CD84476-C3F0-4D32-8E6E-FFE4D1C6A06D}"/>
    <cellStyle name="Normální 3 2 3" xfId="19" xr:uid="{F1577CEA-20D1-43A9-9B3F-43E40B28E361}"/>
    <cellStyle name="Normální 3 3" xfId="10" xr:uid="{3DFF5D6A-4994-4D60-9119-BDEA64BE0DD2}"/>
    <cellStyle name="Normální 3 3 2" xfId="20" xr:uid="{827DF580-2445-4D53-914C-3C5D57AE63BD}"/>
    <cellStyle name="Normální 3 4" xfId="16" xr:uid="{265AFCE9-831E-42E8-BE33-DBB2303648EE}"/>
    <cellStyle name="Normální 4" xfId="5" xr:uid="{00000000-0005-0000-0000-000007000000}"/>
    <cellStyle name="Normální 4 2" xfId="8" xr:uid="{00000000-0005-0000-0000-000008000000}"/>
    <cellStyle name="Normální 4 2 2" xfId="12" xr:uid="{9078EBA9-0647-4894-A55D-B16827985307}"/>
    <cellStyle name="Normální 4 2 2 2" xfId="22" xr:uid="{24357E00-A65A-49D1-B984-FC32487FFE54}"/>
    <cellStyle name="Normální 4 2 3" xfId="15" xr:uid="{E50CECFD-0397-4F15-AC7D-886573BF6036}"/>
    <cellStyle name="Normální 4 2 4" xfId="18" xr:uid="{61BF3717-FCFC-403C-B4E3-2D1E852F4F69}"/>
    <cellStyle name="Normální 4 3" xfId="11" xr:uid="{5B0BD19E-74AB-430D-9680-0699EF7CCD9F}"/>
    <cellStyle name="Normální 4 3 2" xfId="21" xr:uid="{4D31E1F9-1435-4250-83A5-34291D2D9856}"/>
    <cellStyle name="Normální 4 4" xfId="14" xr:uid="{A2D9155A-7E77-4F55-9813-4B1B032CC662}"/>
    <cellStyle name="Normální 4 5" xfId="17" xr:uid="{ABA7367E-1230-49F4-BB40-4AB6B9F2A1C5}"/>
    <cellStyle name="normální_OIII.TURN.e" xfId="4" xr:uid="{00000000-0005-0000-0000-000009000000}"/>
  </cellStyles>
  <dxfs count="0"/>
  <tableStyles count="0" defaultTableStyle="TableStyleMedium2" defaultPivotStyle="PivotStyleLight16"/>
  <colors>
    <mruColors>
      <color rgb="FF99FF99"/>
      <color rgb="FFFF66FF"/>
      <color rgb="FFFABF8F"/>
      <color rgb="FFCCECFF"/>
      <color rgb="FF99CCFF"/>
      <color rgb="FFCCFF66"/>
      <color rgb="FFCC3300"/>
      <color rgb="FFCC6600"/>
      <color rgb="FFA6A6A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C3300"/>
  </sheetPr>
  <dimension ref="A1:Y23"/>
  <sheetViews>
    <sheetView tabSelected="1" zoomScaleNormal="100" workbookViewId="0">
      <selection activeCell="P22" sqref="P22"/>
    </sheetView>
  </sheetViews>
  <sheetFormatPr defaultColWidth="9.140625" defaultRowHeight="15" customHeight="1" x14ac:dyDescent="0.2"/>
  <cols>
    <col min="1" max="1" width="6.7109375" style="152" customWidth="1"/>
    <col min="2" max="15" width="9.140625" style="152"/>
    <col min="16" max="16" width="13.7109375" style="152" customWidth="1"/>
    <col min="17" max="16384" width="9.140625" style="152"/>
  </cols>
  <sheetData>
    <row r="1" spans="1:25" ht="15" customHeight="1" x14ac:dyDescent="0.2">
      <c r="A1" s="917" t="s">
        <v>825</v>
      </c>
    </row>
    <row r="3" spans="1:25" ht="15" customHeight="1" x14ac:dyDescent="0.2">
      <c r="A3" s="152" t="s">
        <v>784</v>
      </c>
    </row>
    <row r="5" spans="1:25" ht="15" customHeight="1" x14ac:dyDescent="0.2">
      <c r="A5" s="152" t="s">
        <v>826</v>
      </c>
    </row>
    <row r="7" spans="1:25" ht="15" customHeight="1" x14ac:dyDescent="0.2">
      <c r="A7" s="152" t="s">
        <v>805</v>
      </c>
      <c r="B7" s="152" t="s">
        <v>816</v>
      </c>
      <c r="Q7" s="3"/>
      <c r="R7" s="3"/>
      <c r="S7" s="3"/>
    </row>
    <row r="8" spans="1:25" ht="15" customHeight="1" x14ac:dyDescent="0.2">
      <c r="A8" s="3" t="s">
        <v>807</v>
      </c>
      <c r="B8" s="918" t="s">
        <v>817</v>
      </c>
      <c r="C8" s="3"/>
      <c r="D8" s="3"/>
      <c r="E8" s="3"/>
      <c r="F8" s="3"/>
      <c r="G8" s="3"/>
      <c r="H8" s="3"/>
      <c r="I8" s="3"/>
      <c r="J8" s="3"/>
      <c r="K8" s="3"/>
    </row>
    <row r="9" spans="1:25" ht="15" customHeight="1" x14ac:dyDescent="0.2">
      <c r="B9" s="919" t="s">
        <v>818</v>
      </c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Q9" s="3"/>
      <c r="R9" s="3"/>
      <c r="S9" s="3"/>
    </row>
    <row r="10" spans="1:25" ht="15" customHeight="1" x14ac:dyDescent="0.2">
      <c r="B10" s="920" t="s">
        <v>819</v>
      </c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3"/>
      <c r="S10" s="3"/>
    </row>
    <row r="11" spans="1:25" ht="15" customHeight="1" x14ac:dyDescent="0.2">
      <c r="B11" s="921"/>
      <c r="R11" s="3"/>
      <c r="S11" s="3"/>
    </row>
    <row r="12" spans="1:25" ht="15" customHeight="1" x14ac:dyDescent="0.2">
      <c r="A12" s="152" t="s">
        <v>820</v>
      </c>
      <c r="B12" s="152" t="s">
        <v>821</v>
      </c>
      <c r="Q12" s="3"/>
    </row>
    <row r="13" spans="1:25" ht="15" customHeight="1" x14ac:dyDescent="0.2">
      <c r="B13" s="152" t="s">
        <v>830</v>
      </c>
      <c r="Q13" s="3"/>
    </row>
    <row r="14" spans="1:25" ht="15" customHeight="1" x14ac:dyDescent="0.2">
      <c r="B14" s="921"/>
      <c r="T14" s="3"/>
      <c r="U14" s="3"/>
      <c r="V14" s="3"/>
      <c r="W14" s="3"/>
      <c r="X14" s="3"/>
      <c r="Y14" s="3"/>
    </row>
    <row r="15" spans="1:25" ht="15" customHeight="1" x14ac:dyDescent="0.2">
      <c r="A15" s="152" t="s">
        <v>806</v>
      </c>
      <c r="B15" s="921" t="s">
        <v>822</v>
      </c>
      <c r="R15" s="3"/>
      <c r="S15" s="3"/>
      <c r="T15" s="3"/>
      <c r="U15" s="3"/>
      <c r="V15" s="3"/>
      <c r="W15" s="3"/>
      <c r="X15" s="3"/>
      <c r="Y15" s="3"/>
    </row>
    <row r="16" spans="1:25" ht="15" customHeight="1" x14ac:dyDescent="0.2">
      <c r="R16" s="3"/>
      <c r="S16" s="3"/>
      <c r="T16" s="3"/>
      <c r="U16" s="3"/>
      <c r="V16" s="3"/>
      <c r="W16" s="3"/>
      <c r="X16" s="3"/>
      <c r="Y16" s="3"/>
    </row>
    <row r="17" spans="1:25" ht="15" customHeight="1" x14ac:dyDescent="0.2">
      <c r="A17" s="152" t="s">
        <v>808</v>
      </c>
      <c r="B17" s="152" t="s">
        <v>823</v>
      </c>
      <c r="T17" s="3"/>
      <c r="U17" s="3"/>
      <c r="V17" s="3"/>
      <c r="W17" s="3"/>
      <c r="X17" s="3"/>
      <c r="Y17" s="3"/>
    </row>
    <row r="18" spans="1:25" ht="15" customHeight="1" x14ac:dyDescent="0.2">
      <c r="T18" s="3"/>
      <c r="U18" s="3"/>
      <c r="V18" s="3"/>
      <c r="W18" s="3"/>
      <c r="X18" s="3"/>
      <c r="Y18" s="3"/>
    </row>
    <row r="19" spans="1:25" ht="15" customHeight="1" x14ac:dyDescent="0.2">
      <c r="A19" s="918" t="s">
        <v>807</v>
      </c>
      <c r="B19" s="920" t="s">
        <v>824</v>
      </c>
      <c r="C19" s="918"/>
      <c r="D19" s="918"/>
      <c r="E19" s="918"/>
      <c r="F19" s="918"/>
      <c r="G19" s="918"/>
      <c r="H19" s="918"/>
      <c r="I19" s="918"/>
    </row>
    <row r="20" spans="1:25" ht="15" customHeight="1" x14ac:dyDescent="0.2">
      <c r="B20" s="921"/>
      <c r="T20" s="3"/>
      <c r="U20" s="3"/>
      <c r="V20" s="3"/>
      <c r="W20" s="3"/>
      <c r="X20" s="3"/>
      <c r="Y20" s="3"/>
    </row>
    <row r="21" spans="1:25" ht="15" customHeight="1" x14ac:dyDescent="0.2">
      <c r="B21" s="921"/>
      <c r="T21" s="3"/>
      <c r="U21" s="3"/>
      <c r="V21" s="3"/>
      <c r="W21" s="3"/>
      <c r="X21" s="3"/>
      <c r="Y21" s="3"/>
    </row>
    <row r="22" spans="1:25" ht="15" customHeight="1" x14ac:dyDescent="0.2">
      <c r="A22" s="152" t="s">
        <v>827</v>
      </c>
    </row>
    <row r="23" spans="1:25" ht="15" customHeight="1" x14ac:dyDescent="0.2">
      <c r="A23" s="152" t="s">
        <v>785</v>
      </c>
      <c r="C23" s="922"/>
      <c r="D23" s="922"/>
      <c r="E23" s="922"/>
      <c r="F23" s="922"/>
      <c r="G23" s="922"/>
    </row>
  </sheetData>
  <pageMargins left="0.19685039370078741" right="0.19685039370078741" top="0.59055118110236227" bottom="0.3937007874015748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AT122"/>
  <sheetViews>
    <sheetView zoomScaleNormal="100" workbookViewId="0">
      <pane xSplit="8" ySplit="11" topLeftCell="AD12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ColWidth="9.140625" defaultRowHeight="15" x14ac:dyDescent="0.25"/>
  <cols>
    <col min="1" max="1" width="5" style="233" customWidth="1"/>
    <col min="2" max="2" width="6.140625" style="175" bestFit="1" customWidth="1"/>
    <col min="3" max="3" width="10.7109375" style="284" customWidth="1"/>
    <col min="4" max="4" width="7.85546875" style="175" bestFit="1" customWidth="1"/>
    <col min="5" max="5" width="36.140625" style="175" customWidth="1"/>
    <col min="6" max="6" width="5.7109375" style="175" customWidth="1"/>
    <col min="7" max="7" width="10.28515625" style="175" customWidth="1"/>
    <col min="8" max="8" width="8" style="175" customWidth="1"/>
    <col min="9" max="9" width="12" style="239" customWidth="1"/>
    <col min="10" max="11" width="11.28515625" style="239" customWidth="1"/>
    <col min="12" max="12" width="12" style="239" customWidth="1"/>
    <col min="13" max="13" width="11.85546875" style="239" customWidth="1"/>
    <col min="14" max="14" width="12.5703125" style="239" customWidth="1"/>
    <col min="15" max="15" width="12.140625" style="701" customWidth="1"/>
    <col min="16" max="18" width="10.28515625" style="239" customWidth="1"/>
    <col min="19" max="19" width="10.5703125" style="239" customWidth="1"/>
    <col min="20" max="20" width="12.140625" style="239" customWidth="1"/>
    <col min="21" max="25" width="10.28515625" style="239" customWidth="1"/>
    <col min="26" max="26" width="10.42578125" style="240" customWidth="1"/>
    <col min="27" max="27" width="10.140625" style="239" customWidth="1"/>
    <col min="28" max="28" width="9.140625" style="239" customWidth="1"/>
    <col min="29" max="29" width="9.7109375" style="239" customWidth="1"/>
    <col min="30" max="31" width="9.140625" style="239" customWidth="1"/>
    <col min="32" max="32" width="9.140625" style="701" customWidth="1"/>
    <col min="33" max="35" width="9.140625" style="240" customWidth="1"/>
    <col min="36" max="36" width="10.5703125" style="463" customWidth="1"/>
    <col min="37" max="38" width="9.140625" style="240" customWidth="1"/>
    <col min="39" max="39" width="12.28515625" style="240" customWidth="1"/>
    <col min="40" max="40" width="12" style="240" customWidth="1"/>
    <col min="41" max="43" width="10.85546875" style="240" customWidth="1"/>
    <col min="44" max="44" width="11.85546875" style="240" customWidth="1"/>
    <col min="45" max="45" width="10.85546875" style="240" customWidth="1"/>
    <col min="46" max="46" width="9.140625" style="175" customWidth="1"/>
    <col min="47" max="16384" width="9.140625" style="175"/>
  </cols>
  <sheetData>
    <row r="1" spans="1:46" x14ac:dyDescent="0.25">
      <c r="A1" s="321" t="s">
        <v>2</v>
      </c>
      <c r="B1" s="321"/>
      <c r="C1" s="173"/>
      <c r="D1" s="321"/>
      <c r="E1" s="321"/>
      <c r="F1" s="174"/>
      <c r="G1" s="174"/>
      <c r="H1" s="174"/>
      <c r="AA1" s="48"/>
      <c r="AB1" s="48"/>
      <c r="AC1" s="48"/>
      <c r="AD1" s="48"/>
      <c r="AE1" s="48"/>
      <c r="AF1" s="717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6" x14ac:dyDescent="0.25">
      <c r="A2" s="321" t="s">
        <v>3</v>
      </c>
      <c r="B2" s="321"/>
      <c r="C2" s="173"/>
      <c r="D2" s="321"/>
      <c r="E2" s="321"/>
      <c r="F2" s="174"/>
      <c r="G2" s="174"/>
      <c r="H2" s="174"/>
      <c r="AF2" s="240"/>
    </row>
    <row r="3" spans="1:46" x14ac:dyDescent="0.25">
      <c r="A3" s="997" t="s">
        <v>4</v>
      </c>
      <c r="B3" s="997"/>
      <c r="C3" s="997"/>
      <c r="D3" s="997"/>
      <c r="E3" s="997"/>
      <c r="F3" s="174"/>
      <c r="G3" s="174"/>
      <c r="H3" s="174"/>
      <c r="I3" s="864"/>
      <c r="J3" s="864"/>
      <c r="K3" s="864"/>
      <c r="L3" s="864"/>
      <c r="M3" s="864"/>
      <c r="N3" s="864"/>
      <c r="O3" s="865"/>
      <c r="P3" s="864"/>
      <c r="Q3" s="864"/>
      <c r="R3" s="864"/>
      <c r="S3" s="864"/>
      <c r="T3" s="864"/>
      <c r="U3" s="864"/>
      <c r="AA3" s="380"/>
      <c r="AB3" s="380"/>
      <c r="AF3" s="240"/>
    </row>
    <row r="4" spans="1:46" x14ac:dyDescent="0.25">
      <c r="A4" s="176"/>
      <c r="B4" s="321"/>
      <c r="C4" s="321"/>
      <c r="D4" s="321"/>
      <c r="E4" s="321"/>
      <c r="F4" s="174"/>
      <c r="G4" s="174"/>
      <c r="H4" s="174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6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J5" s="864"/>
      <c r="K5" s="864"/>
      <c r="L5" s="864"/>
      <c r="M5" s="864"/>
      <c r="N5" s="864"/>
      <c r="O5" s="865"/>
      <c r="P5" s="472"/>
      <c r="Q5" s="851" t="s">
        <v>815</v>
      </c>
      <c r="R5" s="47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50"/>
      <c r="AG5" s="472"/>
      <c r="AH5" s="851" t="s">
        <v>815</v>
      </c>
      <c r="AI5" s="50"/>
      <c r="AJ5" s="50"/>
      <c r="AK5" s="50"/>
      <c r="AL5" s="50"/>
    </row>
    <row r="6" spans="1:46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6" ht="16.5" customHeight="1" thickBot="1" x14ac:dyDescent="0.3">
      <c r="A7" s="176"/>
      <c r="B7" s="178"/>
      <c r="C7" s="60"/>
      <c r="D7" s="179"/>
      <c r="E7" s="178"/>
      <c r="F7" s="174"/>
      <c r="G7" s="174"/>
      <c r="H7" s="174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6" ht="15" customHeight="1" x14ac:dyDescent="0.25">
      <c r="A8" s="180"/>
      <c r="B8" s="181"/>
      <c r="C8" s="181"/>
      <c r="D8" s="181"/>
      <c r="E8" s="181"/>
      <c r="F8" s="181"/>
      <c r="G8" s="181"/>
      <c r="H8" s="181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6" ht="36" customHeight="1" thickBot="1" x14ac:dyDescent="0.3">
      <c r="A9" s="182" t="s">
        <v>751</v>
      </c>
      <c r="B9" s="60"/>
      <c r="C9" s="60"/>
      <c r="D9" s="183"/>
      <c r="E9" s="60"/>
      <c r="F9" s="184"/>
      <c r="G9" s="185"/>
      <c r="H9" s="185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6" ht="23.25" thickBot="1" x14ac:dyDescent="0.3">
      <c r="A10" s="186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7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6" s="192" customFormat="1" ht="12" thickBot="1" x14ac:dyDescent="0.25">
      <c r="A11" s="1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868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6" ht="12.95" customHeight="1" x14ac:dyDescent="0.25">
      <c r="A12" s="193">
        <v>1</v>
      </c>
      <c r="B12" s="242">
        <v>5415</v>
      </c>
      <c r="C12" s="243">
        <v>667000135</v>
      </c>
      <c r="D12" s="242">
        <v>71011170</v>
      </c>
      <c r="E12" s="268" t="s">
        <v>742</v>
      </c>
      <c r="F12" s="242">
        <v>3111</v>
      </c>
      <c r="G12" s="269" t="s">
        <v>290</v>
      </c>
      <c r="H12" s="245" t="s">
        <v>262</v>
      </c>
      <c r="I12" s="610">
        <v>18117135</v>
      </c>
      <c r="J12" s="659">
        <v>13440011</v>
      </c>
      <c r="K12" s="659">
        <v>0</v>
      </c>
      <c r="L12" s="431">
        <v>4542724</v>
      </c>
      <c r="M12" s="431">
        <v>134400</v>
      </c>
      <c r="N12" s="573">
        <v>0</v>
      </c>
      <c r="O12" s="718">
        <v>22.4</v>
      </c>
      <c r="P12" s="572">
        <f>W12*-1</f>
        <v>0</v>
      </c>
      <c r="Q12" s="573">
        <v>0</v>
      </c>
      <c r="R12" s="573">
        <v>0</v>
      </c>
      <c r="S12" s="573">
        <v>0</v>
      </c>
      <c r="T12" s="573">
        <v>0</v>
      </c>
      <c r="U12" s="573">
        <v>0</v>
      </c>
      <c r="V12" s="573">
        <f>P12+Q12+R12+S12+T12+U12</f>
        <v>0</v>
      </c>
      <c r="W12" s="573">
        <v>0</v>
      </c>
      <c r="X12" s="573">
        <v>0</v>
      </c>
      <c r="Y12" s="573">
        <v>0</v>
      </c>
      <c r="Z12" s="573">
        <f>W12+X12+Y12</f>
        <v>0</v>
      </c>
      <c r="AA12" s="573">
        <f>V12+Z12</f>
        <v>0</v>
      </c>
      <c r="AB12" s="575">
        <f>ROUND((V12+Z12)*33.8%,0)</f>
        <v>0</v>
      </c>
      <c r="AC12" s="575">
        <f>ROUND(V12*1%,0)</f>
        <v>0</v>
      </c>
      <c r="AD12" s="573">
        <v>0</v>
      </c>
      <c r="AE12" s="605">
        <f>AA12+AB12+AC12+AD12</f>
        <v>0</v>
      </c>
      <c r="AF12" s="801">
        <v>0</v>
      </c>
      <c r="AG12" s="576">
        <v>0</v>
      </c>
      <c r="AH12" s="576">
        <v>0</v>
      </c>
      <c r="AI12" s="576">
        <v>0</v>
      </c>
      <c r="AJ12" s="576">
        <v>0</v>
      </c>
      <c r="AK12" s="576">
        <v>0</v>
      </c>
      <c r="AL12" s="675">
        <f>SUM(AF12:AK12)</f>
        <v>0</v>
      </c>
      <c r="AM12" s="620">
        <f>I12+AE12</f>
        <v>18117135</v>
      </c>
      <c r="AN12" s="523">
        <f>J12+V12</f>
        <v>13440011</v>
      </c>
      <c r="AO12" s="573">
        <f>K12+Z12</f>
        <v>0</v>
      </c>
      <c r="AP12" s="523">
        <f t="shared" ref="AP12:AR14" si="0">L12+AB12</f>
        <v>4542724</v>
      </c>
      <c r="AQ12" s="523">
        <f t="shared" si="0"/>
        <v>134400</v>
      </c>
      <c r="AR12" s="523">
        <f t="shared" si="0"/>
        <v>0</v>
      </c>
      <c r="AS12" s="608">
        <f>O12+AL12</f>
        <v>22.4</v>
      </c>
      <c r="AT12" s="240"/>
    </row>
    <row r="13" spans="1:46" ht="12.95" customHeight="1" x14ac:dyDescent="0.25">
      <c r="A13" s="205">
        <v>1</v>
      </c>
      <c r="B13" s="246">
        <v>5415</v>
      </c>
      <c r="C13" s="247">
        <v>667000135</v>
      </c>
      <c r="D13" s="246">
        <v>71011170</v>
      </c>
      <c r="E13" s="268" t="s">
        <v>742</v>
      </c>
      <c r="F13" s="246">
        <v>3111</v>
      </c>
      <c r="G13" s="209" t="s">
        <v>278</v>
      </c>
      <c r="H13" s="209" t="s">
        <v>263</v>
      </c>
      <c r="I13" s="580">
        <v>338893</v>
      </c>
      <c r="J13" s="660">
        <v>251404</v>
      </c>
      <c r="K13" s="660">
        <v>0</v>
      </c>
      <c r="L13" s="55">
        <v>84975</v>
      </c>
      <c r="M13" s="55">
        <v>2514</v>
      </c>
      <c r="N13" s="325">
        <v>0</v>
      </c>
      <c r="O13" s="719">
        <v>0.6</v>
      </c>
      <c r="P13" s="440">
        <f>W13*-1</f>
        <v>0</v>
      </c>
      <c r="Q13" s="573">
        <v>0</v>
      </c>
      <c r="R13" s="325">
        <v>0</v>
      </c>
      <c r="S13" s="325">
        <v>0</v>
      </c>
      <c r="T13" s="325">
        <v>0</v>
      </c>
      <c r="U13" s="325">
        <v>0</v>
      </c>
      <c r="V13" s="492">
        <f>P13+Q13+R13+S13+T13+U13</f>
        <v>0</v>
      </c>
      <c r="W13" s="325">
        <v>0</v>
      </c>
      <c r="X13" s="325">
        <v>0</v>
      </c>
      <c r="Y13" s="325">
        <v>0</v>
      </c>
      <c r="Z13" s="492">
        <f>W13+X13+Y13</f>
        <v>0</v>
      </c>
      <c r="AA13" s="492">
        <f>V13+Z13</f>
        <v>0</v>
      </c>
      <c r="AB13" s="494">
        <f>ROUND((V13+Z13)*33.8%,0)</f>
        <v>0</v>
      </c>
      <c r="AC13" s="494">
        <f>ROUND(V13*1%,0)</f>
        <v>0</v>
      </c>
      <c r="AD13" s="492">
        <v>0</v>
      </c>
      <c r="AE13" s="753">
        <f t="shared" ref="AE13:AE14" si="1">AA13+AB13+AC13+AD13</f>
        <v>0</v>
      </c>
      <c r="AF13" s="688">
        <v>0</v>
      </c>
      <c r="AG13" s="576">
        <v>0</v>
      </c>
      <c r="AH13" s="326">
        <v>0</v>
      </c>
      <c r="AI13" s="326">
        <v>0</v>
      </c>
      <c r="AJ13" s="326">
        <v>0</v>
      </c>
      <c r="AK13" s="326">
        <v>0</v>
      </c>
      <c r="AL13" s="609">
        <f>SUM(AF13:AK13)</f>
        <v>0</v>
      </c>
      <c r="AM13" s="676">
        <f>I13+AE13</f>
        <v>338893</v>
      </c>
      <c r="AN13" s="492">
        <f>J13+V13</f>
        <v>251404</v>
      </c>
      <c r="AO13" s="573">
        <f>K13+Z13</f>
        <v>0</v>
      </c>
      <c r="AP13" s="492">
        <f t="shared" si="0"/>
        <v>84975</v>
      </c>
      <c r="AQ13" s="492">
        <f t="shared" si="0"/>
        <v>2514</v>
      </c>
      <c r="AR13" s="492">
        <f t="shared" si="0"/>
        <v>0</v>
      </c>
      <c r="AS13" s="609">
        <f>O13+AL13</f>
        <v>0.6</v>
      </c>
      <c r="AT13" s="240"/>
    </row>
    <row r="14" spans="1:46" ht="12.95" customHeight="1" x14ac:dyDescent="0.25">
      <c r="A14" s="205">
        <v>1</v>
      </c>
      <c r="B14" s="246">
        <v>5415</v>
      </c>
      <c r="C14" s="247">
        <v>667000135</v>
      </c>
      <c r="D14" s="246">
        <v>71011170</v>
      </c>
      <c r="E14" s="268" t="s">
        <v>742</v>
      </c>
      <c r="F14" s="246">
        <v>3111</v>
      </c>
      <c r="G14" s="211" t="s">
        <v>279</v>
      </c>
      <c r="H14" s="209" t="s">
        <v>262</v>
      </c>
      <c r="I14" s="580">
        <v>984085</v>
      </c>
      <c r="J14" s="660">
        <v>730034</v>
      </c>
      <c r="K14" s="660">
        <v>0</v>
      </c>
      <c r="L14" s="55">
        <v>246751</v>
      </c>
      <c r="M14" s="55">
        <v>7300</v>
      </c>
      <c r="N14" s="325">
        <v>0</v>
      </c>
      <c r="O14" s="719">
        <v>1.8</v>
      </c>
      <c r="P14" s="440">
        <f>W14*-1</f>
        <v>0</v>
      </c>
      <c r="Q14" s="573">
        <v>0</v>
      </c>
      <c r="R14" s="325">
        <v>0</v>
      </c>
      <c r="S14" s="325">
        <v>0</v>
      </c>
      <c r="T14" s="325">
        <v>0</v>
      </c>
      <c r="U14" s="325">
        <v>0</v>
      </c>
      <c r="V14" s="492">
        <f>P14+Q14+R14+S14+T14+U14</f>
        <v>0</v>
      </c>
      <c r="W14" s="325">
        <v>0</v>
      </c>
      <c r="X14" s="325">
        <v>0</v>
      </c>
      <c r="Y14" s="325">
        <v>0</v>
      </c>
      <c r="Z14" s="492">
        <f>W14+X14+Y14</f>
        <v>0</v>
      </c>
      <c r="AA14" s="492">
        <f>V14+Z14</f>
        <v>0</v>
      </c>
      <c r="AB14" s="494">
        <f>ROUND((V14+Z14)*33.8%,0)</f>
        <v>0</v>
      </c>
      <c r="AC14" s="494">
        <f>ROUND(V14*1%,0)</f>
        <v>0</v>
      </c>
      <c r="AD14" s="492">
        <v>0</v>
      </c>
      <c r="AE14" s="753">
        <f t="shared" si="1"/>
        <v>0</v>
      </c>
      <c r="AF14" s="688">
        <v>0</v>
      </c>
      <c r="AG14" s="576">
        <v>0</v>
      </c>
      <c r="AH14" s="326">
        <v>0</v>
      </c>
      <c r="AI14" s="326">
        <v>0</v>
      </c>
      <c r="AJ14" s="326">
        <v>0</v>
      </c>
      <c r="AK14" s="326">
        <v>0</v>
      </c>
      <c r="AL14" s="609">
        <f>SUM(AF14:AK14)</f>
        <v>0</v>
      </c>
      <c r="AM14" s="676">
        <f>I14+AE14</f>
        <v>984085</v>
      </c>
      <c r="AN14" s="492">
        <f>J14+V14</f>
        <v>730034</v>
      </c>
      <c r="AO14" s="573">
        <f>K14+Z14</f>
        <v>0</v>
      </c>
      <c r="AP14" s="492">
        <f t="shared" si="0"/>
        <v>246751</v>
      </c>
      <c r="AQ14" s="492">
        <f t="shared" si="0"/>
        <v>7300</v>
      </c>
      <c r="AR14" s="492">
        <f t="shared" si="0"/>
        <v>0</v>
      </c>
      <c r="AS14" s="609">
        <f>O14+AL14</f>
        <v>1.8</v>
      </c>
      <c r="AT14" s="240"/>
    </row>
    <row r="15" spans="1:46" ht="12.95" customHeight="1" x14ac:dyDescent="0.25">
      <c r="A15" s="198">
        <v>1</v>
      </c>
      <c r="B15" s="200">
        <v>5415</v>
      </c>
      <c r="C15" s="271">
        <v>667000135</v>
      </c>
      <c r="D15" s="200">
        <v>71011170</v>
      </c>
      <c r="E15" s="658" t="s">
        <v>742</v>
      </c>
      <c r="F15" s="200"/>
      <c r="G15" s="272"/>
      <c r="H15" s="562"/>
      <c r="I15" s="646">
        <v>19440113</v>
      </c>
      <c r="J15" s="661">
        <v>14421449</v>
      </c>
      <c r="K15" s="661">
        <v>0</v>
      </c>
      <c r="L15" s="355">
        <v>4874450</v>
      </c>
      <c r="M15" s="355">
        <v>144214</v>
      </c>
      <c r="N15" s="355">
        <v>0</v>
      </c>
      <c r="O15" s="720">
        <v>24.8</v>
      </c>
      <c r="P15" s="442">
        <f t="shared" ref="P15:AS15" si="2">SUM(P12:P14)</f>
        <v>0</v>
      </c>
      <c r="Q15" s="442">
        <f t="shared" si="2"/>
        <v>0</v>
      </c>
      <c r="R15" s="355">
        <f t="shared" si="2"/>
        <v>0</v>
      </c>
      <c r="S15" s="355">
        <f t="shared" si="2"/>
        <v>0</v>
      </c>
      <c r="T15" s="355">
        <f t="shared" si="2"/>
        <v>0</v>
      </c>
      <c r="U15" s="355">
        <f t="shared" si="2"/>
        <v>0</v>
      </c>
      <c r="V15" s="355">
        <f t="shared" si="2"/>
        <v>0</v>
      </c>
      <c r="W15" s="355">
        <f t="shared" si="2"/>
        <v>0</v>
      </c>
      <c r="X15" s="355">
        <f t="shared" si="2"/>
        <v>0</v>
      </c>
      <c r="Y15" s="355">
        <f t="shared" si="2"/>
        <v>0</v>
      </c>
      <c r="Z15" s="355">
        <f t="shared" si="2"/>
        <v>0</v>
      </c>
      <c r="AA15" s="355">
        <f t="shared" si="2"/>
        <v>0</v>
      </c>
      <c r="AB15" s="355">
        <f t="shared" si="2"/>
        <v>0</v>
      </c>
      <c r="AC15" s="355">
        <f t="shared" si="2"/>
        <v>0</v>
      </c>
      <c r="AD15" s="355">
        <f t="shared" si="2"/>
        <v>0</v>
      </c>
      <c r="AE15" s="665">
        <f t="shared" si="2"/>
        <v>0</v>
      </c>
      <c r="AF15" s="802">
        <f t="shared" si="2"/>
        <v>0</v>
      </c>
      <c r="AG15" s="356">
        <f t="shared" si="2"/>
        <v>0</v>
      </c>
      <c r="AH15" s="356">
        <f t="shared" si="2"/>
        <v>0</v>
      </c>
      <c r="AI15" s="356">
        <f t="shared" si="2"/>
        <v>0</v>
      </c>
      <c r="AJ15" s="356">
        <f t="shared" si="2"/>
        <v>0</v>
      </c>
      <c r="AK15" s="356">
        <f t="shared" si="2"/>
        <v>0</v>
      </c>
      <c r="AL15" s="253">
        <f t="shared" si="2"/>
        <v>0</v>
      </c>
      <c r="AM15" s="805">
        <f t="shared" si="2"/>
        <v>19440113</v>
      </c>
      <c r="AN15" s="442">
        <f t="shared" si="2"/>
        <v>14421449</v>
      </c>
      <c r="AO15" s="355">
        <f t="shared" si="2"/>
        <v>0</v>
      </c>
      <c r="AP15" s="355">
        <f t="shared" si="2"/>
        <v>4874450</v>
      </c>
      <c r="AQ15" s="355">
        <f t="shared" si="2"/>
        <v>144214</v>
      </c>
      <c r="AR15" s="355">
        <f t="shared" si="2"/>
        <v>0</v>
      </c>
      <c r="AS15" s="253">
        <f t="shared" si="2"/>
        <v>24.8</v>
      </c>
      <c r="AT15" s="240"/>
    </row>
    <row r="16" spans="1:46" ht="12.95" customHeight="1" x14ac:dyDescent="0.25">
      <c r="A16" s="205">
        <v>2</v>
      </c>
      <c r="B16" s="246">
        <v>5416</v>
      </c>
      <c r="C16" s="247">
        <v>600099342</v>
      </c>
      <c r="D16" s="246">
        <v>854719</v>
      </c>
      <c r="E16" s="273" t="s">
        <v>397</v>
      </c>
      <c r="F16" s="246">
        <v>3113</v>
      </c>
      <c r="G16" s="270" t="s">
        <v>294</v>
      </c>
      <c r="H16" s="209" t="s">
        <v>262</v>
      </c>
      <c r="I16" s="580">
        <v>19542004</v>
      </c>
      <c r="J16" s="660">
        <v>14437481</v>
      </c>
      <c r="K16" s="660">
        <v>60000</v>
      </c>
      <c r="L16" s="55">
        <v>4900148</v>
      </c>
      <c r="M16" s="55">
        <v>144375</v>
      </c>
      <c r="N16" s="325">
        <v>0</v>
      </c>
      <c r="O16" s="719">
        <v>20.095499999999998</v>
      </c>
      <c r="P16" s="445">
        <f>W16*-1</f>
        <v>-40000</v>
      </c>
      <c r="Q16" s="573">
        <v>0</v>
      </c>
      <c r="R16" s="325">
        <v>0</v>
      </c>
      <c r="S16" s="325">
        <v>0</v>
      </c>
      <c r="T16" s="325">
        <v>0</v>
      </c>
      <c r="U16" s="325">
        <v>0</v>
      </c>
      <c r="V16" s="492">
        <f>P16+Q16+R16+S16+T16+U16</f>
        <v>-40000</v>
      </c>
      <c r="W16" s="325">
        <v>40000</v>
      </c>
      <c r="X16" s="325">
        <v>0</v>
      </c>
      <c r="Y16" s="325">
        <v>0</v>
      </c>
      <c r="Z16" s="492">
        <f>W16+X16+Y16</f>
        <v>40000</v>
      </c>
      <c r="AA16" s="492">
        <f>V16+Z16</f>
        <v>0</v>
      </c>
      <c r="AB16" s="494">
        <f>ROUND((V16+Z16)*33.8%,0)</f>
        <v>0</v>
      </c>
      <c r="AC16" s="494">
        <f>ROUND(V16*1%,0)</f>
        <v>-400</v>
      </c>
      <c r="AD16" s="492">
        <v>0</v>
      </c>
      <c r="AE16" s="753">
        <f t="shared" ref="AE16:AE19" si="3">AA16+AB16+AC16+AD16</f>
        <v>-400</v>
      </c>
      <c r="AF16" s="688">
        <v>-0.03</v>
      </c>
      <c r="AG16" s="576">
        <v>0</v>
      </c>
      <c r="AH16" s="326">
        <v>0</v>
      </c>
      <c r="AI16" s="326">
        <v>0</v>
      </c>
      <c r="AJ16" s="326">
        <v>0</v>
      </c>
      <c r="AK16" s="326">
        <v>0</v>
      </c>
      <c r="AL16" s="609">
        <f>SUM(AF16:AK16)</f>
        <v>-0.03</v>
      </c>
      <c r="AM16" s="676">
        <f>I16+AE16</f>
        <v>19541604</v>
      </c>
      <c r="AN16" s="492">
        <f>J16+V16</f>
        <v>14397481</v>
      </c>
      <c r="AO16" s="573">
        <f>K16+Z16</f>
        <v>100000</v>
      </c>
      <c r="AP16" s="492">
        <f t="shared" ref="AP16:AR19" si="4">L16+AB16</f>
        <v>4900148</v>
      </c>
      <c r="AQ16" s="492">
        <f t="shared" si="4"/>
        <v>143975</v>
      </c>
      <c r="AR16" s="492">
        <f t="shared" si="4"/>
        <v>0</v>
      </c>
      <c r="AS16" s="609">
        <f>O16+AL16</f>
        <v>20.065499999999997</v>
      </c>
      <c r="AT16" s="240"/>
    </row>
    <row r="17" spans="1:46" ht="12.95" customHeight="1" x14ac:dyDescent="0.25">
      <c r="A17" s="704">
        <v>2</v>
      </c>
      <c r="B17" s="713">
        <v>5416</v>
      </c>
      <c r="C17" s="714">
        <v>600099342</v>
      </c>
      <c r="D17" s="713">
        <v>854719</v>
      </c>
      <c r="E17" s="439" t="s">
        <v>397</v>
      </c>
      <c r="F17" s="713">
        <v>3113</v>
      </c>
      <c r="G17" s="721" t="s">
        <v>799</v>
      </c>
      <c r="H17" s="707" t="s">
        <v>262</v>
      </c>
      <c r="I17" s="580">
        <v>400131</v>
      </c>
      <c r="J17" s="660">
        <v>296833</v>
      </c>
      <c r="K17" s="660">
        <v>0</v>
      </c>
      <c r="L17" s="55">
        <v>100330</v>
      </c>
      <c r="M17" s="55">
        <v>2968</v>
      </c>
      <c r="N17" s="325">
        <v>0</v>
      </c>
      <c r="O17" s="719">
        <v>0.53339999999999999</v>
      </c>
      <c r="P17" s="445">
        <f>W17*-1</f>
        <v>0</v>
      </c>
      <c r="Q17" s="573">
        <v>0</v>
      </c>
      <c r="R17" s="325">
        <v>0</v>
      </c>
      <c r="S17" s="325">
        <v>0</v>
      </c>
      <c r="T17" s="325">
        <v>0</v>
      </c>
      <c r="U17" s="325">
        <v>0</v>
      </c>
      <c r="V17" s="492">
        <f>P17+Q17+R17+S17+T17+U17</f>
        <v>0</v>
      </c>
      <c r="W17" s="325">
        <v>0</v>
      </c>
      <c r="X17" s="325">
        <v>0</v>
      </c>
      <c r="Y17" s="325">
        <v>0</v>
      </c>
      <c r="Z17" s="492">
        <f>W17+X17+Y17</f>
        <v>0</v>
      </c>
      <c r="AA17" s="492">
        <f>V17+Z17</f>
        <v>0</v>
      </c>
      <c r="AB17" s="494">
        <f>ROUND((V17+Z17)*33.8%,0)</f>
        <v>0</v>
      </c>
      <c r="AC17" s="494">
        <f>ROUND(V17*1%,0)</f>
        <v>0</v>
      </c>
      <c r="AD17" s="492">
        <v>0</v>
      </c>
      <c r="AE17" s="753">
        <f>AA17+AB17+AC17+AD17</f>
        <v>0</v>
      </c>
      <c r="AF17" s="688">
        <v>0</v>
      </c>
      <c r="AG17" s="576">
        <v>0</v>
      </c>
      <c r="AH17" s="326">
        <v>0</v>
      </c>
      <c r="AI17" s="326">
        <v>0</v>
      </c>
      <c r="AJ17" s="326">
        <v>0</v>
      </c>
      <c r="AK17" s="326">
        <v>0</v>
      </c>
      <c r="AL17" s="609">
        <f>SUM(AF17:AK17)</f>
        <v>0</v>
      </c>
      <c r="AM17" s="676">
        <f>I17+AE17</f>
        <v>400131</v>
      </c>
      <c r="AN17" s="492">
        <f>J17+V17</f>
        <v>296833</v>
      </c>
      <c r="AO17" s="573">
        <f>K17+Z17</f>
        <v>0</v>
      </c>
      <c r="AP17" s="492">
        <f t="shared" si="4"/>
        <v>100330</v>
      </c>
      <c r="AQ17" s="492">
        <f t="shared" si="4"/>
        <v>2968</v>
      </c>
      <c r="AR17" s="492">
        <f t="shared" si="4"/>
        <v>0</v>
      </c>
      <c r="AS17" s="609">
        <f>O17+AL17</f>
        <v>0.53339999999999999</v>
      </c>
      <c r="AT17" s="240"/>
    </row>
    <row r="18" spans="1:46" ht="12.95" customHeight="1" x14ac:dyDescent="0.25">
      <c r="A18" s="205">
        <v>2</v>
      </c>
      <c r="B18" s="246">
        <v>5416</v>
      </c>
      <c r="C18" s="247">
        <v>600099342</v>
      </c>
      <c r="D18" s="246">
        <v>854719</v>
      </c>
      <c r="E18" s="273" t="s">
        <v>397</v>
      </c>
      <c r="F18" s="246">
        <v>3113</v>
      </c>
      <c r="G18" s="209" t="s">
        <v>278</v>
      </c>
      <c r="H18" s="209" t="s">
        <v>263</v>
      </c>
      <c r="I18" s="580">
        <v>2470347</v>
      </c>
      <c r="J18" s="660">
        <v>1832602</v>
      </c>
      <c r="K18" s="660">
        <v>0</v>
      </c>
      <c r="L18" s="55">
        <v>619419</v>
      </c>
      <c r="M18" s="55">
        <v>18326</v>
      </c>
      <c r="N18" s="325">
        <v>0</v>
      </c>
      <c r="O18" s="719">
        <v>4.3899999999999997</v>
      </c>
      <c r="P18" s="440">
        <f>W18*-1</f>
        <v>0</v>
      </c>
      <c r="Q18" s="573">
        <f>36742+19868</f>
        <v>56610</v>
      </c>
      <c r="R18" s="325">
        <v>0</v>
      </c>
      <c r="S18" s="325">
        <v>0</v>
      </c>
      <c r="T18" s="325">
        <v>0</v>
      </c>
      <c r="U18" s="325">
        <v>0</v>
      </c>
      <c r="V18" s="492">
        <f>P18+Q18+R18+S18+T18+U18</f>
        <v>56610</v>
      </c>
      <c r="W18" s="325">
        <v>0</v>
      </c>
      <c r="X18" s="325">
        <v>0</v>
      </c>
      <c r="Y18" s="325">
        <v>0</v>
      </c>
      <c r="Z18" s="492">
        <f>W18+X18+Y18</f>
        <v>0</v>
      </c>
      <c r="AA18" s="492">
        <f>V18+Z18</f>
        <v>56610</v>
      </c>
      <c r="AB18" s="494">
        <f>ROUND((V18+Z18)*33.8%,0)</f>
        <v>19134</v>
      </c>
      <c r="AC18" s="494">
        <f>ROUND(V18*1%,0)</f>
        <v>566</v>
      </c>
      <c r="AD18" s="492">
        <v>0</v>
      </c>
      <c r="AE18" s="753">
        <f t="shared" si="3"/>
        <v>76310</v>
      </c>
      <c r="AF18" s="688">
        <v>0</v>
      </c>
      <c r="AG18" s="576">
        <f>0.1+0.04</f>
        <v>0.14000000000000001</v>
      </c>
      <c r="AH18" s="326">
        <v>0</v>
      </c>
      <c r="AI18" s="326">
        <v>0</v>
      </c>
      <c r="AJ18" s="326">
        <v>0</v>
      </c>
      <c r="AK18" s="326">
        <v>0</v>
      </c>
      <c r="AL18" s="609">
        <f>SUM(AF18:AK18)</f>
        <v>0.14000000000000001</v>
      </c>
      <c r="AM18" s="676">
        <f>I18+AE18</f>
        <v>2546657</v>
      </c>
      <c r="AN18" s="492">
        <f>J18+V18</f>
        <v>1889212</v>
      </c>
      <c r="AO18" s="573">
        <f>K18+Z18</f>
        <v>0</v>
      </c>
      <c r="AP18" s="492">
        <f t="shared" si="4"/>
        <v>638553</v>
      </c>
      <c r="AQ18" s="492">
        <f t="shared" si="4"/>
        <v>18892</v>
      </c>
      <c r="AR18" s="492">
        <f t="shared" si="4"/>
        <v>0</v>
      </c>
      <c r="AS18" s="609">
        <f>O18+AL18</f>
        <v>4.5299999999999994</v>
      </c>
      <c r="AT18" s="240"/>
    </row>
    <row r="19" spans="1:46" ht="12.95" customHeight="1" x14ac:dyDescent="0.25">
      <c r="A19" s="205">
        <v>2</v>
      </c>
      <c r="B19" s="246">
        <v>5416</v>
      </c>
      <c r="C19" s="247">
        <v>600099342</v>
      </c>
      <c r="D19" s="246">
        <v>854719</v>
      </c>
      <c r="E19" s="273" t="s">
        <v>397</v>
      </c>
      <c r="F19" s="246">
        <v>3143</v>
      </c>
      <c r="G19" s="209" t="s">
        <v>795</v>
      </c>
      <c r="H19" s="209" t="s">
        <v>262</v>
      </c>
      <c r="I19" s="580">
        <v>2218883</v>
      </c>
      <c r="J19" s="55">
        <v>1646055</v>
      </c>
      <c r="K19" s="55">
        <v>0</v>
      </c>
      <c r="L19" s="55">
        <v>556367</v>
      </c>
      <c r="M19" s="55">
        <v>16461</v>
      </c>
      <c r="N19" s="325">
        <v>0</v>
      </c>
      <c r="O19" s="719">
        <v>2.8571</v>
      </c>
      <c r="P19" s="440">
        <f>W19*-1</f>
        <v>0</v>
      </c>
      <c r="Q19" s="573">
        <v>0</v>
      </c>
      <c r="R19" s="325">
        <v>0</v>
      </c>
      <c r="S19" s="325">
        <v>0</v>
      </c>
      <c r="T19" s="325">
        <v>0</v>
      </c>
      <c r="U19" s="325">
        <v>0</v>
      </c>
      <c r="V19" s="492">
        <f>P19+Q19+R19+S19+T19+U19</f>
        <v>0</v>
      </c>
      <c r="W19" s="325">
        <v>0</v>
      </c>
      <c r="X19" s="325">
        <v>0</v>
      </c>
      <c r="Y19" s="325">
        <v>0</v>
      </c>
      <c r="Z19" s="492">
        <f>W19+X19+Y19</f>
        <v>0</v>
      </c>
      <c r="AA19" s="492">
        <f>V19+Z19</f>
        <v>0</v>
      </c>
      <c r="AB19" s="494">
        <f>ROUND((V19+Z19)*33.8%,0)</f>
        <v>0</v>
      </c>
      <c r="AC19" s="494">
        <f>ROUND(V19*1%,0)</f>
        <v>0</v>
      </c>
      <c r="AD19" s="492">
        <v>0</v>
      </c>
      <c r="AE19" s="753">
        <f t="shared" si="3"/>
        <v>0</v>
      </c>
      <c r="AF19" s="688">
        <v>0</v>
      </c>
      <c r="AG19" s="576">
        <v>0</v>
      </c>
      <c r="AH19" s="326">
        <v>0</v>
      </c>
      <c r="AI19" s="326">
        <v>0</v>
      </c>
      <c r="AJ19" s="326">
        <v>0</v>
      </c>
      <c r="AK19" s="326">
        <v>0</v>
      </c>
      <c r="AL19" s="609">
        <f>SUM(AF19:AK19)</f>
        <v>0</v>
      </c>
      <c r="AM19" s="676">
        <f>I19+AE19</f>
        <v>2218883</v>
      </c>
      <c r="AN19" s="492">
        <f>J19+V19</f>
        <v>1646055</v>
      </c>
      <c r="AO19" s="573">
        <f>K19+Z19</f>
        <v>0</v>
      </c>
      <c r="AP19" s="492">
        <f t="shared" si="4"/>
        <v>556367</v>
      </c>
      <c r="AQ19" s="492">
        <f t="shared" si="4"/>
        <v>16461</v>
      </c>
      <c r="AR19" s="492">
        <f t="shared" si="4"/>
        <v>0</v>
      </c>
      <c r="AS19" s="609">
        <f>O19+AL19</f>
        <v>2.8571</v>
      </c>
      <c r="AT19" s="240"/>
    </row>
    <row r="20" spans="1:46" ht="12.95" customHeight="1" x14ac:dyDescent="0.25">
      <c r="A20" s="198">
        <v>2</v>
      </c>
      <c r="B20" s="250">
        <v>5416</v>
      </c>
      <c r="C20" s="251">
        <v>600099342</v>
      </c>
      <c r="D20" s="250">
        <v>854719</v>
      </c>
      <c r="E20" s="274" t="s">
        <v>398</v>
      </c>
      <c r="F20" s="250"/>
      <c r="G20" s="275"/>
      <c r="H20" s="563"/>
      <c r="I20" s="646">
        <v>24631365</v>
      </c>
      <c r="J20" s="646">
        <v>18212971</v>
      </c>
      <c r="K20" s="646">
        <v>60000</v>
      </c>
      <c r="L20" s="646">
        <v>6176264</v>
      </c>
      <c r="M20" s="646">
        <v>182130</v>
      </c>
      <c r="N20" s="355">
        <v>0</v>
      </c>
      <c r="O20" s="722">
        <v>27.875999999999998</v>
      </c>
      <c r="P20" s="442">
        <f t="shared" ref="P20:AS20" si="5">SUM(P16:P19)</f>
        <v>-40000</v>
      </c>
      <c r="Q20" s="442">
        <f t="shared" si="5"/>
        <v>56610</v>
      </c>
      <c r="R20" s="355">
        <f t="shared" si="5"/>
        <v>0</v>
      </c>
      <c r="S20" s="355">
        <f t="shared" si="5"/>
        <v>0</v>
      </c>
      <c r="T20" s="355">
        <f t="shared" si="5"/>
        <v>0</v>
      </c>
      <c r="U20" s="355">
        <f t="shared" si="5"/>
        <v>0</v>
      </c>
      <c r="V20" s="355">
        <f t="shared" si="5"/>
        <v>16610</v>
      </c>
      <c r="W20" s="355">
        <f t="shared" si="5"/>
        <v>40000</v>
      </c>
      <c r="X20" s="355">
        <f t="shared" si="5"/>
        <v>0</v>
      </c>
      <c r="Y20" s="355">
        <f t="shared" si="5"/>
        <v>0</v>
      </c>
      <c r="Z20" s="355">
        <f t="shared" si="5"/>
        <v>40000</v>
      </c>
      <c r="AA20" s="355">
        <f t="shared" si="5"/>
        <v>56610</v>
      </c>
      <c r="AB20" s="355">
        <f t="shared" si="5"/>
        <v>19134</v>
      </c>
      <c r="AC20" s="355">
        <f t="shared" si="5"/>
        <v>166</v>
      </c>
      <c r="AD20" s="355">
        <f t="shared" si="5"/>
        <v>0</v>
      </c>
      <c r="AE20" s="665">
        <f t="shared" si="5"/>
        <v>75910</v>
      </c>
      <c r="AF20" s="802">
        <f t="shared" si="5"/>
        <v>-0.03</v>
      </c>
      <c r="AG20" s="356">
        <f t="shared" si="5"/>
        <v>0.14000000000000001</v>
      </c>
      <c r="AH20" s="356">
        <f t="shared" si="5"/>
        <v>0</v>
      </c>
      <c r="AI20" s="356">
        <f t="shared" si="5"/>
        <v>0</v>
      </c>
      <c r="AJ20" s="356">
        <f t="shared" si="5"/>
        <v>0</v>
      </c>
      <c r="AK20" s="356">
        <f t="shared" si="5"/>
        <v>0</v>
      </c>
      <c r="AL20" s="253">
        <f t="shared" si="5"/>
        <v>0.11000000000000001</v>
      </c>
      <c r="AM20" s="668">
        <f t="shared" si="5"/>
        <v>24707275</v>
      </c>
      <c r="AN20" s="442">
        <f t="shared" si="5"/>
        <v>18229581</v>
      </c>
      <c r="AO20" s="355">
        <f t="shared" si="5"/>
        <v>100000</v>
      </c>
      <c r="AP20" s="355">
        <f t="shared" si="5"/>
        <v>6195398</v>
      </c>
      <c r="AQ20" s="355">
        <f t="shared" si="5"/>
        <v>182296</v>
      </c>
      <c r="AR20" s="355">
        <f t="shared" si="5"/>
        <v>0</v>
      </c>
      <c r="AS20" s="253">
        <f t="shared" si="5"/>
        <v>27.985999999999994</v>
      </c>
      <c r="AT20" s="240"/>
    </row>
    <row r="21" spans="1:46" ht="12.95" customHeight="1" x14ac:dyDescent="0.25">
      <c r="A21" s="205">
        <v>3</v>
      </c>
      <c r="B21" s="246">
        <v>5413</v>
      </c>
      <c r="C21" s="247">
        <v>600099334</v>
      </c>
      <c r="D21" s="246">
        <v>854697</v>
      </c>
      <c r="E21" s="273" t="s">
        <v>399</v>
      </c>
      <c r="F21" s="246">
        <v>3113</v>
      </c>
      <c r="G21" s="270" t="s">
        <v>294</v>
      </c>
      <c r="H21" s="209" t="s">
        <v>262</v>
      </c>
      <c r="I21" s="580">
        <v>25468223</v>
      </c>
      <c r="J21" s="660">
        <v>18857607</v>
      </c>
      <c r="K21" s="660">
        <v>36000</v>
      </c>
      <c r="L21" s="55">
        <v>6386039</v>
      </c>
      <c r="M21" s="55">
        <v>188577</v>
      </c>
      <c r="N21" s="325">
        <v>0</v>
      </c>
      <c r="O21" s="719">
        <v>25.844100000000001</v>
      </c>
      <c r="P21" s="445">
        <f>W21*-1</f>
        <v>-24000</v>
      </c>
      <c r="Q21" s="573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>P21+Q21+R21+S21+T21+U21</f>
        <v>-24000</v>
      </c>
      <c r="W21" s="325">
        <v>24000</v>
      </c>
      <c r="X21" s="325">
        <v>0</v>
      </c>
      <c r="Y21" s="325">
        <v>0</v>
      </c>
      <c r="Z21" s="492">
        <f>W21+X21+Y21</f>
        <v>24000</v>
      </c>
      <c r="AA21" s="492">
        <f>V21+Z21</f>
        <v>0</v>
      </c>
      <c r="AB21" s="494">
        <f>ROUND((V21+Z21)*33.8%,0)</f>
        <v>0</v>
      </c>
      <c r="AC21" s="494">
        <f>ROUND(V21*1%,0)</f>
        <v>-240</v>
      </c>
      <c r="AD21" s="492">
        <v>0</v>
      </c>
      <c r="AE21" s="753">
        <f t="shared" ref="AE21:AE25" si="6">AA21+AB21+AC21+AD21</f>
        <v>-240</v>
      </c>
      <c r="AF21" s="688">
        <v>-0.02</v>
      </c>
      <c r="AG21" s="576">
        <v>0</v>
      </c>
      <c r="AH21" s="326">
        <v>0</v>
      </c>
      <c r="AI21" s="326">
        <v>0</v>
      </c>
      <c r="AJ21" s="326">
        <v>0</v>
      </c>
      <c r="AK21" s="326">
        <v>0</v>
      </c>
      <c r="AL21" s="609">
        <f>SUM(AF21:AK21)</f>
        <v>-0.02</v>
      </c>
      <c r="AM21" s="676">
        <f>I21+AE21</f>
        <v>25467983</v>
      </c>
      <c r="AN21" s="492">
        <f>J21+V21</f>
        <v>18833607</v>
      </c>
      <c r="AO21" s="573">
        <f>K21+Z21</f>
        <v>60000</v>
      </c>
      <c r="AP21" s="492">
        <f t="shared" ref="AP21:AR25" si="7">L21+AB21</f>
        <v>6386039</v>
      </c>
      <c r="AQ21" s="492">
        <f t="shared" si="7"/>
        <v>188337</v>
      </c>
      <c r="AR21" s="492">
        <f t="shared" si="7"/>
        <v>0</v>
      </c>
      <c r="AS21" s="609">
        <f>O21+AL21</f>
        <v>25.824100000000001</v>
      </c>
      <c r="AT21" s="240"/>
    </row>
    <row r="22" spans="1:46" ht="12.95" customHeight="1" x14ac:dyDescent="0.25">
      <c r="A22" s="704">
        <v>3</v>
      </c>
      <c r="B22" s="713">
        <v>5413</v>
      </c>
      <c r="C22" s="714">
        <v>600099334</v>
      </c>
      <c r="D22" s="713">
        <v>854697</v>
      </c>
      <c r="E22" s="439" t="s">
        <v>399</v>
      </c>
      <c r="F22" s="713">
        <v>3113</v>
      </c>
      <c r="G22" s="721" t="s">
        <v>799</v>
      </c>
      <c r="H22" s="707" t="s">
        <v>262</v>
      </c>
      <c r="I22" s="580">
        <v>567408</v>
      </c>
      <c r="J22" s="660">
        <v>420926</v>
      </c>
      <c r="K22" s="660">
        <v>0</v>
      </c>
      <c r="L22" s="55">
        <v>142273</v>
      </c>
      <c r="M22" s="55">
        <v>4209</v>
      </c>
      <c r="N22" s="325">
        <v>0</v>
      </c>
      <c r="O22" s="719">
        <v>0.8</v>
      </c>
      <c r="P22" s="445">
        <f>W22*-1</f>
        <v>0</v>
      </c>
      <c r="Q22" s="573">
        <v>0</v>
      </c>
      <c r="R22" s="325">
        <v>0</v>
      </c>
      <c r="S22" s="325">
        <v>0</v>
      </c>
      <c r="T22" s="325">
        <v>0</v>
      </c>
      <c r="U22" s="325">
        <v>0</v>
      </c>
      <c r="V22" s="492">
        <f>P22+Q22+R22+S22+T22+U22</f>
        <v>0</v>
      </c>
      <c r="W22" s="325">
        <v>0</v>
      </c>
      <c r="X22" s="325">
        <v>0</v>
      </c>
      <c r="Y22" s="325">
        <v>0</v>
      </c>
      <c r="Z22" s="492">
        <f>W22+X22+Y22</f>
        <v>0</v>
      </c>
      <c r="AA22" s="492">
        <f>V22+Z22</f>
        <v>0</v>
      </c>
      <c r="AB22" s="494">
        <f>ROUND((V22+Z22)*33.8%,0)</f>
        <v>0</v>
      </c>
      <c r="AC22" s="494">
        <f>ROUND(V22*1%,0)</f>
        <v>0</v>
      </c>
      <c r="AD22" s="492">
        <v>0</v>
      </c>
      <c r="AE22" s="753">
        <f>AA22+AB22+AC22+AD22</f>
        <v>0</v>
      </c>
      <c r="AF22" s="688">
        <v>0</v>
      </c>
      <c r="AG22" s="576">
        <v>0</v>
      </c>
      <c r="AH22" s="326">
        <v>0</v>
      </c>
      <c r="AI22" s="326">
        <v>0</v>
      </c>
      <c r="AJ22" s="326">
        <v>0</v>
      </c>
      <c r="AK22" s="326">
        <v>0</v>
      </c>
      <c r="AL22" s="609">
        <f>SUM(AF22:AK22)</f>
        <v>0</v>
      </c>
      <c r="AM22" s="676">
        <f>I22+AE22</f>
        <v>567408</v>
      </c>
      <c r="AN22" s="492">
        <f>J22+V22</f>
        <v>420926</v>
      </c>
      <c r="AO22" s="573">
        <f>K22+Z22</f>
        <v>0</v>
      </c>
      <c r="AP22" s="492">
        <f t="shared" si="7"/>
        <v>142273</v>
      </c>
      <c r="AQ22" s="492">
        <f t="shared" si="7"/>
        <v>4209</v>
      </c>
      <c r="AR22" s="492">
        <f t="shared" si="7"/>
        <v>0</v>
      </c>
      <c r="AS22" s="609">
        <f>O22+AL22</f>
        <v>0.8</v>
      </c>
      <c r="AT22" s="240"/>
    </row>
    <row r="23" spans="1:46" ht="12.95" customHeight="1" x14ac:dyDescent="0.25">
      <c r="A23" s="205">
        <v>3</v>
      </c>
      <c r="B23" s="246">
        <v>5413</v>
      </c>
      <c r="C23" s="247">
        <v>600099334</v>
      </c>
      <c r="D23" s="246">
        <v>854697</v>
      </c>
      <c r="E23" s="273" t="s">
        <v>399</v>
      </c>
      <c r="F23" s="246">
        <v>3113</v>
      </c>
      <c r="G23" s="209" t="s">
        <v>278</v>
      </c>
      <c r="H23" s="209" t="s">
        <v>263</v>
      </c>
      <c r="I23" s="580">
        <v>3721609</v>
      </c>
      <c r="J23" s="660">
        <v>2760838</v>
      </c>
      <c r="K23" s="660">
        <v>0</v>
      </c>
      <c r="L23" s="55">
        <v>933163</v>
      </c>
      <c r="M23" s="55">
        <v>27608</v>
      </c>
      <c r="N23" s="325">
        <v>0</v>
      </c>
      <c r="O23" s="719">
        <v>6.6899999999999995</v>
      </c>
      <c r="P23" s="440">
        <f>W23*-1</f>
        <v>0</v>
      </c>
      <c r="Q23" s="573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>P23+Q23+R23+S23+T23+U23</f>
        <v>0</v>
      </c>
      <c r="W23" s="325">
        <v>0</v>
      </c>
      <c r="X23" s="325">
        <v>0</v>
      </c>
      <c r="Y23" s="325">
        <v>0</v>
      </c>
      <c r="Z23" s="492">
        <f>W23+X23+Y23</f>
        <v>0</v>
      </c>
      <c r="AA23" s="492">
        <f>V23+Z23</f>
        <v>0</v>
      </c>
      <c r="AB23" s="494">
        <f>ROUND((V23+Z23)*33.8%,0)</f>
        <v>0</v>
      </c>
      <c r="AC23" s="494">
        <f>ROUND(V23*1%,0)</f>
        <v>0</v>
      </c>
      <c r="AD23" s="492">
        <v>0</v>
      </c>
      <c r="AE23" s="753">
        <f t="shared" si="6"/>
        <v>0</v>
      </c>
      <c r="AF23" s="688">
        <v>0</v>
      </c>
      <c r="AG23" s="576">
        <v>0</v>
      </c>
      <c r="AH23" s="326">
        <v>0</v>
      </c>
      <c r="AI23" s="326">
        <v>0</v>
      </c>
      <c r="AJ23" s="326">
        <v>0</v>
      </c>
      <c r="AK23" s="326">
        <v>0</v>
      </c>
      <c r="AL23" s="609">
        <f>SUM(AF23:AK23)</f>
        <v>0</v>
      </c>
      <c r="AM23" s="676">
        <f>I23+AE23</f>
        <v>3721609</v>
      </c>
      <c r="AN23" s="492">
        <f>J23+V23</f>
        <v>2760838</v>
      </c>
      <c r="AO23" s="573">
        <f>K23+Z23</f>
        <v>0</v>
      </c>
      <c r="AP23" s="492">
        <f t="shared" si="7"/>
        <v>933163</v>
      </c>
      <c r="AQ23" s="492">
        <f t="shared" si="7"/>
        <v>27608</v>
      </c>
      <c r="AR23" s="492">
        <f t="shared" si="7"/>
        <v>0</v>
      </c>
      <c r="AS23" s="609">
        <f>O23+AL23</f>
        <v>6.6899999999999995</v>
      </c>
      <c r="AT23" s="240"/>
    </row>
    <row r="24" spans="1:46" ht="12.95" customHeight="1" x14ac:dyDescent="0.25">
      <c r="A24" s="205">
        <v>3</v>
      </c>
      <c r="B24" s="246">
        <v>5413</v>
      </c>
      <c r="C24" s="247">
        <v>600099334</v>
      </c>
      <c r="D24" s="246">
        <v>854697</v>
      </c>
      <c r="E24" s="273" t="s">
        <v>399</v>
      </c>
      <c r="F24" s="246">
        <v>3143</v>
      </c>
      <c r="G24" s="209" t="s">
        <v>794</v>
      </c>
      <c r="H24" s="209" t="s">
        <v>262</v>
      </c>
      <c r="I24" s="580">
        <v>2452853</v>
      </c>
      <c r="J24" s="55">
        <v>1819624</v>
      </c>
      <c r="K24" s="55">
        <v>0</v>
      </c>
      <c r="L24" s="55">
        <v>615033</v>
      </c>
      <c r="M24" s="55">
        <v>18196</v>
      </c>
      <c r="N24" s="325">
        <v>0</v>
      </c>
      <c r="O24" s="719">
        <v>3.4</v>
      </c>
      <c r="P24" s="440">
        <f>W24*-1</f>
        <v>0</v>
      </c>
      <c r="Q24" s="573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>P24+Q24+R24+S24+T24+U24</f>
        <v>0</v>
      </c>
      <c r="W24" s="325">
        <v>0</v>
      </c>
      <c r="X24" s="325">
        <v>0</v>
      </c>
      <c r="Y24" s="325">
        <v>0</v>
      </c>
      <c r="Z24" s="492">
        <f>W24+X24+Y24</f>
        <v>0</v>
      </c>
      <c r="AA24" s="492">
        <f>V24+Z24</f>
        <v>0</v>
      </c>
      <c r="AB24" s="494">
        <f>ROUND((V24+Z24)*33.8%,0)</f>
        <v>0</v>
      </c>
      <c r="AC24" s="494">
        <f>ROUND(V24*1%,0)</f>
        <v>0</v>
      </c>
      <c r="AD24" s="492">
        <v>0</v>
      </c>
      <c r="AE24" s="753">
        <f t="shared" si="6"/>
        <v>0</v>
      </c>
      <c r="AF24" s="688">
        <v>0</v>
      </c>
      <c r="AG24" s="576">
        <v>0</v>
      </c>
      <c r="AH24" s="326">
        <v>0</v>
      </c>
      <c r="AI24" s="326">
        <v>0</v>
      </c>
      <c r="AJ24" s="326">
        <v>0</v>
      </c>
      <c r="AK24" s="326">
        <v>0</v>
      </c>
      <c r="AL24" s="609">
        <f>SUM(AF24:AK24)</f>
        <v>0</v>
      </c>
      <c r="AM24" s="676">
        <f>I24+AE24</f>
        <v>2452853</v>
      </c>
      <c r="AN24" s="492">
        <f>J24+V24</f>
        <v>1819624</v>
      </c>
      <c r="AO24" s="573">
        <f>K24+Z24</f>
        <v>0</v>
      </c>
      <c r="AP24" s="492">
        <f t="shared" si="7"/>
        <v>615033</v>
      </c>
      <c r="AQ24" s="492">
        <f t="shared" si="7"/>
        <v>18196</v>
      </c>
      <c r="AR24" s="492">
        <f t="shared" si="7"/>
        <v>0</v>
      </c>
      <c r="AS24" s="609">
        <f>O24+AL24</f>
        <v>3.4</v>
      </c>
      <c r="AT24" s="240"/>
    </row>
    <row r="25" spans="1:46" ht="12.95" customHeight="1" x14ac:dyDescent="0.25">
      <c r="A25" s="205">
        <v>3</v>
      </c>
      <c r="B25" s="246">
        <v>5413</v>
      </c>
      <c r="C25" s="247">
        <v>600099334</v>
      </c>
      <c r="D25" s="246">
        <v>854697</v>
      </c>
      <c r="E25" s="273" t="s">
        <v>399</v>
      </c>
      <c r="F25" s="246">
        <v>3143</v>
      </c>
      <c r="G25" s="270" t="s">
        <v>400</v>
      </c>
      <c r="H25" s="209" t="s">
        <v>263</v>
      </c>
      <c r="I25" s="580">
        <v>354511</v>
      </c>
      <c r="J25" s="660">
        <v>262990</v>
      </c>
      <c r="K25" s="660">
        <v>0</v>
      </c>
      <c r="L25" s="55">
        <v>88891</v>
      </c>
      <c r="M25" s="55">
        <v>2630</v>
      </c>
      <c r="N25" s="325">
        <v>0</v>
      </c>
      <c r="O25" s="719">
        <v>0.49</v>
      </c>
      <c r="P25" s="440">
        <f>W25*-1</f>
        <v>0</v>
      </c>
      <c r="Q25" s="573">
        <v>0</v>
      </c>
      <c r="R25" s="325">
        <v>0</v>
      </c>
      <c r="S25" s="325">
        <v>0</v>
      </c>
      <c r="T25" s="325">
        <v>0</v>
      </c>
      <c r="U25" s="325">
        <v>0</v>
      </c>
      <c r="V25" s="492">
        <f>P25+Q25+R25+S25+T25+U25</f>
        <v>0</v>
      </c>
      <c r="W25" s="325">
        <v>0</v>
      </c>
      <c r="X25" s="325">
        <v>0</v>
      </c>
      <c r="Y25" s="325">
        <v>0</v>
      </c>
      <c r="Z25" s="492">
        <f>W25+X25+Y25</f>
        <v>0</v>
      </c>
      <c r="AA25" s="492">
        <f>V25+Z25</f>
        <v>0</v>
      </c>
      <c r="AB25" s="494">
        <f>ROUND((V25+Z25)*33.8%,0)</f>
        <v>0</v>
      </c>
      <c r="AC25" s="494">
        <f>ROUND(V25*1%,0)</f>
        <v>0</v>
      </c>
      <c r="AD25" s="492">
        <v>0</v>
      </c>
      <c r="AE25" s="753">
        <f t="shared" si="6"/>
        <v>0</v>
      </c>
      <c r="AF25" s="688">
        <v>0</v>
      </c>
      <c r="AG25" s="576">
        <v>0</v>
      </c>
      <c r="AH25" s="326">
        <v>0</v>
      </c>
      <c r="AI25" s="326">
        <v>0</v>
      </c>
      <c r="AJ25" s="326">
        <v>0</v>
      </c>
      <c r="AK25" s="326">
        <v>0</v>
      </c>
      <c r="AL25" s="609">
        <f>SUM(AF25:AK25)</f>
        <v>0</v>
      </c>
      <c r="AM25" s="676">
        <f>I25+AE25</f>
        <v>354511</v>
      </c>
      <c r="AN25" s="492">
        <f>J25+V25</f>
        <v>262990</v>
      </c>
      <c r="AO25" s="573">
        <f>K25+Z25</f>
        <v>0</v>
      </c>
      <c r="AP25" s="492">
        <f t="shared" si="7"/>
        <v>88891</v>
      </c>
      <c r="AQ25" s="492">
        <f t="shared" si="7"/>
        <v>2630</v>
      </c>
      <c r="AR25" s="492">
        <f t="shared" si="7"/>
        <v>0</v>
      </c>
      <c r="AS25" s="609">
        <f>O25+AL25</f>
        <v>0.49</v>
      </c>
      <c r="AT25" s="240"/>
    </row>
    <row r="26" spans="1:46" ht="12.95" customHeight="1" x14ac:dyDescent="0.25">
      <c r="A26" s="198">
        <v>3</v>
      </c>
      <c r="B26" s="250">
        <v>5413</v>
      </c>
      <c r="C26" s="251">
        <v>600099334</v>
      </c>
      <c r="D26" s="250">
        <v>854697</v>
      </c>
      <c r="E26" s="274" t="s">
        <v>401</v>
      </c>
      <c r="F26" s="250"/>
      <c r="G26" s="275"/>
      <c r="H26" s="563"/>
      <c r="I26" s="646">
        <v>32564604</v>
      </c>
      <c r="J26" s="646">
        <v>24121985</v>
      </c>
      <c r="K26" s="646">
        <v>36000</v>
      </c>
      <c r="L26" s="646">
        <v>8165399</v>
      </c>
      <c r="M26" s="646">
        <v>241220</v>
      </c>
      <c r="N26" s="355">
        <v>0</v>
      </c>
      <c r="O26" s="722">
        <v>37.2241</v>
      </c>
      <c r="P26" s="442">
        <f t="shared" ref="P26:AS26" si="8">SUM(P21:P25)</f>
        <v>-24000</v>
      </c>
      <c r="Q26" s="442">
        <f t="shared" si="8"/>
        <v>0</v>
      </c>
      <c r="R26" s="355">
        <f t="shared" si="8"/>
        <v>0</v>
      </c>
      <c r="S26" s="355">
        <f t="shared" si="8"/>
        <v>0</v>
      </c>
      <c r="T26" s="355">
        <f t="shared" si="8"/>
        <v>0</v>
      </c>
      <c r="U26" s="355">
        <f t="shared" si="8"/>
        <v>0</v>
      </c>
      <c r="V26" s="355">
        <f t="shared" si="8"/>
        <v>-24000</v>
      </c>
      <c r="W26" s="355">
        <f t="shared" si="8"/>
        <v>24000</v>
      </c>
      <c r="X26" s="355">
        <f t="shared" si="8"/>
        <v>0</v>
      </c>
      <c r="Y26" s="355">
        <f t="shared" si="8"/>
        <v>0</v>
      </c>
      <c r="Z26" s="355">
        <f t="shared" si="8"/>
        <v>24000</v>
      </c>
      <c r="AA26" s="355">
        <f t="shared" si="8"/>
        <v>0</v>
      </c>
      <c r="AB26" s="355">
        <f t="shared" si="8"/>
        <v>0</v>
      </c>
      <c r="AC26" s="355">
        <f t="shared" si="8"/>
        <v>-240</v>
      </c>
      <c r="AD26" s="355">
        <f t="shared" si="8"/>
        <v>0</v>
      </c>
      <c r="AE26" s="665">
        <f t="shared" si="8"/>
        <v>-240</v>
      </c>
      <c r="AF26" s="802">
        <f t="shared" si="8"/>
        <v>-0.02</v>
      </c>
      <c r="AG26" s="356">
        <f t="shared" si="8"/>
        <v>0</v>
      </c>
      <c r="AH26" s="356">
        <f t="shared" si="8"/>
        <v>0</v>
      </c>
      <c r="AI26" s="356">
        <f t="shared" si="8"/>
        <v>0</v>
      </c>
      <c r="AJ26" s="356">
        <f t="shared" si="8"/>
        <v>0</v>
      </c>
      <c r="AK26" s="356">
        <f t="shared" si="8"/>
        <v>0</v>
      </c>
      <c r="AL26" s="253">
        <f t="shared" si="8"/>
        <v>-0.02</v>
      </c>
      <c r="AM26" s="668">
        <f t="shared" si="8"/>
        <v>32564364</v>
      </c>
      <c r="AN26" s="442">
        <f t="shared" si="8"/>
        <v>24097985</v>
      </c>
      <c r="AO26" s="355">
        <f t="shared" si="8"/>
        <v>60000</v>
      </c>
      <c r="AP26" s="355">
        <f t="shared" si="8"/>
        <v>8165399</v>
      </c>
      <c r="AQ26" s="355">
        <f t="shared" si="8"/>
        <v>240980</v>
      </c>
      <c r="AR26" s="355">
        <f t="shared" si="8"/>
        <v>0</v>
      </c>
      <c r="AS26" s="253">
        <f t="shared" si="8"/>
        <v>37.204100000000004</v>
      </c>
      <c r="AT26" s="240"/>
    </row>
    <row r="27" spans="1:46" ht="12.95" customHeight="1" x14ac:dyDescent="0.25">
      <c r="A27" s="205">
        <v>4</v>
      </c>
      <c r="B27" s="246">
        <v>5475</v>
      </c>
      <c r="C27" s="247">
        <v>600099385</v>
      </c>
      <c r="D27" s="246">
        <v>854735</v>
      </c>
      <c r="E27" s="273" t="s">
        <v>402</v>
      </c>
      <c r="F27" s="246">
        <v>3231</v>
      </c>
      <c r="G27" s="270" t="s">
        <v>383</v>
      </c>
      <c r="H27" s="209" t="s">
        <v>262</v>
      </c>
      <c r="I27" s="580">
        <v>15034490</v>
      </c>
      <c r="J27" s="660">
        <v>11153182</v>
      </c>
      <c r="K27" s="660">
        <v>0</v>
      </c>
      <c r="L27" s="55">
        <v>3769776</v>
      </c>
      <c r="M27" s="55">
        <v>111532</v>
      </c>
      <c r="N27" s="325">
        <v>0</v>
      </c>
      <c r="O27" s="719">
        <v>16.735099999999999</v>
      </c>
      <c r="P27" s="445">
        <f>W27*-1</f>
        <v>0</v>
      </c>
      <c r="Q27" s="573">
        <v>0</v>
      </c>
      <c r="R27" s="325">
        <v>0</v>
      </c>
      <c r="S27" s="325">
        <v>0</v>
      </c>
      <c r="T27" s="325">
        <v>0</v>
      </c>
      <c r="U27" s="325">
        <v>0</v>
      </c>
      <c r="V27" s="492">
        <f>P27+Q27+R27+S27+T27+U27</f>
        <v>0</v>
      </c>
      <c r="W27" s="325">
        <v>0</v>
      </c>
      <c r="X27" s="325">
        <v>0</v>
      </c>
      <c r="Y27" s="325">
        <v>0</v>
      </c>
      <c r="Z27" s="492">
        <f>W27+X27+Y27</f>
        <v>0</v>
      </c>
      <c r="AA27" s="492">
        <f>V27+Z27</f>
        <v>0</v>
      </c>
      <c r="AB27" s="494">
        <f>ROUND((V27+Z27)*33.8%,0)</f>
        <v>0</v>
      </c>
      <c r="AC27" s="494">
        <f>ROUND(V27*1%,0)</f>
        <v>0</v>
      </c>
      <c r="AD27" s="492">
        <v>0</v>
      </c>
      <c r="AE27" s="753">
        <f>AA27+AB27+AC27+AD27</f>
        <v>0</v>
      </c>
      <c r="AF27" s="688">
        <v>0</v>
      </c>
      <c r="AG27" s="576">
        <v>0</v>
      </c>
      <c r="AH27" s="326">
        <v>0</v>
      </c>
      <c r="AI27" s="326">
        <v>0</v>
      </c>
      <c r="AJ27" s="326">
        <v>0</v>
      </c>
      <c r="AK27" s="326">
        <v>0</v>
      </c>
      <c r="AL27" s="609">
        <f>SUM(AF27:AK27)</f>
        <v>0</v>
      </c>
      <c r="AM27" s="676">
        <f>I27+AE27</f>
        <v>15034490</v>
      </c>
      <c r="AN27" s="492">
        <f>J27+V27</f>
        <v>11153182</v>
      </c>
      <c r="AO27" s="573">
        <f>K27+Z27</f>
        <v>0</v>
      </c>
      <c r="AP27" s="492">
        <f>L27+AB27</f>
        <v>3769776</v>
      </c>
      <c r="AQ27" s="492">
        <f>M27+AC27</f>
        <v>111532</v>
      </c>
      <c r="AR27" s="492">
        <f>N27+AD27</f>
        <v>0</v>
      </c>
      <c r="AS27" s="609">
        <f>O27+AL27</f>
        <v>16.735099999999999</v>
      </c>
      <c r="AT27" s="240"/>
    </row>
    <row r="28" spans="1:46" ht="12.95" customHeight="1" x14ac:dyDescent="0.25">
      <c r="A28" s="198">
        <v>4</v>
      </c>
      <c r="B28" s="250">
        <v>5475</v>
      </c>
      <c r="C28" s="251">
        <v>600099385</v>
      </c>
      <c r="D28" s="250">
        <v>854735</v>
      </c>
      <c r="E28" s="274" t="s">
        <v>403</v>
      </c>
      <c r="F28" s="250"/>
      <c r="G28" s="275"/>
      <c r="H28" s="563"/>
      <c r="I28" s="646">
        <v>15034490</v>
      </c>
      <c r="J28" s="661">
        <v>11153182</v>
      </c>
      <c r="K28" s="661">
        <v>0</v>
      </c>
      <c r="L28" s="355">
        <v>3769776</v>
      </c>
      <c r="M28" s="355">
        <v>111532</v>
      </c>
      <c r="N28" s="355">
        <v>0</v>
      </c>
      <c r="O28" s="720">
        <v>16.735099999999999</v>
      </c>
      <c r="P28" s="442">
        <f t="shared" ref="P28:AS28" si="9">SUM(P27)</f>
        <v>0</v>
      </c>
      <c r="Q28" s="442">
        <f t="shared" si="9"/>
        <v>0</v>
      </c>
      <c r="R28" s="355">
        <f t="shared" si="9"/>
        <v>0</v>
      </c>
      <c r="S28" s="355">
        <f t="shared" si="9"/>
        <v>0</v>
      </c>
      <c r="T28" s="355">
        <f t="shared" si="9"/>
        <v>0</v>
      </c>
      <c r="U28" s="355">
        <f t="shared" si="9"/>
        <v>0</v>
      </c>
      <c r="V28" s="355">
        <f t="shared" si="9"/>
        <v>0</v>
      </c>
      <c r="W28" s="355">
        <f t="shared" si="9"/>
        <v>0</v>
      </c>
      <c r="X28" s="355">
        <f t="shared" si="9"/>
        <v>0</v>
      </c>
      <c r="Y28" s="355">
        <f t="shared" si="9"/>
        <v>0</v>
      </c>
      <c r="Z28" s="355">
        <f t="shared" si="9"/>
        <v>0</v>
      </c>
      <c r="AA28" s="355">
        <f t="shared" si="9"/>
        <v>0</v>
      </c>
      <c r="AB28" s="355">
        <f t="shared" si="9"/>
        <v>0</v>
      </c>
      <c r="AC28" s="355">
        <f t="shared" si="9"/>
        <v>0</v>
      </c>
      <c r="AD28" s="355">
        <f t="shared" si="9"/>
        <v>0</v>
      </c>
      <c r="AE28" s="665">
        <f t="shared" si="9"/>
        <v>0</v>
      </c>
      <c r="AF28" s="802">
        <f t="shared" si="9"/>
        <v>0</v>
      </c>
      <c r="AG28" s="356">
        <f t="shared" si="9"/>
        <v>0</v>
      </c>
      <c r="AH28" s="356">
        <f t="shared" si="9"/>
        <v>0</v>
      </c>
      <c r="AI28" s="356">
        <f t="shared" si="9"/>
        <v>0</v>
      </c>
      <c r="AJ28" s="356">
        <f t="shared" si="9"/>
        <v>0</v>
      </c>
      <c r="AK28" s="356">
        <f t="shared" si="9"/>
        <v>0</v>
      </c>
      <c r="AL28" s="253">
        <f t="shared" si="9"/>
        <v>0</v>
      </c>
      <c r="AM28" s="668">
        <f t="shared" si="9"/>
        <v>15034490</v>
      </c>
      <c r="AN28" s="442">
        <f t="shared" si="9"/>
        <v>11153182</v>
      </c>
      <c r="AO28" s="355">
        <f t="shared" si="9"/>
        <v>0</v>
      </c>
      <c r="AP28" s="355">
        <f t="shared" si="9"/>
        <v>3769776</v>
      </c>
      <c r="AQ28" s="355">
        <f t="shared" si="9"/>
        <v>111532</v>
      </c>
      <c r="AR28" s="355">
        <f t="shared" si="9"/>
        <v>0</v>
      </c>
      <c r="AS28" s="253">
        <f t="shared" si="9"/>
        <v>16.735099999999999</v>
      </c>
      <c r="AT28" s="240"/>
    </row>
    <row r="29" spans="1:46" ht="12.95" customHeight="1" x14ac:dyDescent="0.25">
      <c r="A29" s="205">
        <v>5</v>
      </c>
      <c r="B29" s="246">
        <v>5402</v>
      </c>
      <c r="C29" s="247">
        <v>600098958</v>
      </c>
      <c r="D29" s="246">
        <v>70983623</v>
      </c>
      <c r="E29" s="273" t="s">
        <v>781</v>
      </c>
      <c r="F29" s="246">
        <v>3111</v>
      </c>
      <c r="G29" s="270" t="s">
        <v>290</v>
      </c>
      <c r="H29" s="209" t="s">
        <v>262</v>
      </c>
      <c r="I29" s="580">
        <v>1685851</v>
      </c>
      <c r="J29" s="660">
        <v>1244676</v>
      </c>
      <c r="K29" s="660">
        <v>6000</v>
      </c>
      <c r="L29" s="55">
        <v>422728</v>
      </c>
      <c r="M29" s="55">
        <v>12447</v>
      </c>
      <c r="N29" s="325">
        <v>0</v>
      </c>
      <c r="O29" s="719">
        <v>2</v>
      </c>
      <c r="P29" s="445">
        <f t="shared" ref="P29:P32" si="10">W29*-1</f>
        <v>-4000</v>
      </c>
      <c r="Q29" s="573">
        <v>0</v>
      </c>
      <c r="R29" s="325">
        <v>0</v>
      </c>
      <c r="S29" s="325">
        <v>0</v>
      </c>
      <c r="T29" s="325">
        <v>0</v>
      </c>
      <c r="U29" s="325">
        <v>0</v>
      </c>
      <c r="V29" s="492">
        <f>P29+Q29+R29+S29+T29+U29</f>
        <v>-4000</v>
      </c>
      <c r="W29" s="325">
        <v>4000</v>
      </c>
      <c r="X29" s="325">
        <v>0</v>
      </c>
      <c r="Y29" s="325">
        <v>0</v>
      </c>
      <c r="Z29" s="492">
        <f>W29+X29+Y29</f>
        <v>4000</v>
      </c>
      <c r="AA29" s="492">
        <f>V29+Z29</f>
        <v>0</v>
      </c>
      <c r="AB29" s="494">
        <f>ROUND((V29+Z29)*33.8%,0)</f>
        <v>0</v>
      </c>
      <c r="AC29" s="494">
        <f>ROUND(V29*1%,0)</f>
        <v>-40</v>
      </c>
      <c r="AD29" s="492">
        <v>0</v>
      </c>
      <c r="AE29" s="753">
        <f t="shared" ref="AE29:AE32" si="11">AA29+AB29+AC29+AD29</f>
        <v>-40</v>
      </c>
      <c r="AF29" s="688">
        <v>0</v>
      </c>
      <c r="AG29" s="576">
        <v>0</v>
      </c>
      <c r="AH29" s="326">
        <v>0</v>
      </c>
      <c r="AI29" s="326">
        <v>0</v>
      </c>
      <c r="AJ29" s="326">
        <v>0</v>
      </c>
      <c r="AK29" s="326">
        <v>0</v>
      </c>
      <c r="AL29" s="609">
        <f>SUM(AF29:AK29)</f>
        <v>0</v>
      </c>
      <c r="AM29" s="676">
        <f>I29+AE29</f>
        <v>1685811</v>
      </c>
      <c r="AN29" s="492">
        <f>J29+V29</f>
        <v>1240676</v>
      </c>
      <c r="AO29" s="573">
        <f>K29+Z29</f>
        <v>10000</v>
      </c>
      <c r="AP29" s="492">
        <f t="shared" ref="AP29:AR32" si="12">L29+AB29</f>
        <v>422728</v>
      </c>
      <c r="AQ29" s="492">
        <f t="shared" si="12"/>
        <v>12407</v>
      </c>
      <c r="AR29" s="492">
        <f t="shared" si="12"/>
        <v>0</v>
      </c>
      <c r="AS29" s="609">
        <f>O29+AL29</f>
        <v>2</v>
      </c>
      <c r="AT29" s="240"/>
    </row>
    <row r="30" spans="1:46" ht="12.95" customHeight="1" x14ac:dyDescent="0.25">
      <c r="A30" s="205">
        <v>5</v>
      </c>
      <c r="B30" s="246">
        <v>5402</v>
      </c>
      <c r="C30" s="247">
        <v>600098958</v>
      </c>
      <c r="D30" s="246">
        <v>70983623</v>
      </c>
      <c r="E30" s="273" t="s">
        <v>764</v>
      </c>
      <c r="F30" s="246">
        <v>3117</v>
      </c>
      <c r="G30" s="270" t="s">
        <v>294</v>
      </c>
      <c r="H30" s="209" t="s">
        <v>262</v>
      </c>
      <c r="I30" s="580">
        <v>4208859</v>
      </c>
      <c r="J30" s="660">
        <v>3116343</v>
      </c>
      <c r="K30" s="660">
        <v>6000</v>
      </c>
      <c r="L30" s="55">
        <v>1055353</v>
      </c>
      <c r="M30" s="55">
        <v>31163</v>
      </c>
      <c r="N30" s="325">
        <v>0</v>
      </c>
      <c r="O30" s="719">
        <v>4.9090999999999996</v>
      </c>
      <c r="P30" s="440">
        <f t="shared" si="10"/>
        <v>-4000</v>
      </c>
      <c r="Q30" s="573">
        <v>0</v>
      </c>
      <c r="R30" s="325">
        <v>0</v>
      </c>
      <c r="S30" s="325">
        <v>0</v>
      </c>
      <c r="T30" s="325">
        <v>0</v>
      </c>
      <c r="U30" s="325">
        <v>0</v>
      </c>
      <c r="V30" s="492">
        <f>P30+Q30+R30+S30+T30+U30</f>
        <v>-4000</v>
      </c>
      <c r="W30" s="325">
        <v>4000</v>
      </c>
      <c r="X30" s="325">
        <v>0</v>
      </c>
      <c r="Y30" s="325">
        <v>0</v>
      </c>
      <c r="Z30" s="492">
        <f>W30+X30+Y30</f>
        <v>4000</v>
      </c>
      <c r="AA30" s="492">
        <f>V30+Z30</f>
        <v>0</v>
      </c>
      <c r="AB30" s="494">
        <f>ROUND((V30+Z30)*33.8%,0)</f>
        <v>0</v>
      </c>
      <c r="AC30" s="494">
        <f>ROUND(V30*1%,0)</f>
        <v>-40</v>
      </c>
      <c r="AD30" s="492">
        <v>0</v>
      </c>
      <c r="AE30" s="753">
        <f t="shared" si="11"/>
        <v>-40</v>
      </c>
      <c r="AF30" s="688">
        <v>0</v>
      </c>
      <c r="AG30" s="576">
        <v>0</v>
      </c>
      <c r="AH30" s="326">
        <v>0</v>
      </c>
      <c r="AI30" s="326">
        <v>0</v>
      </c>
      <c r="AJ30" s="326">
        <v>0</v>
      </c>
      <c r="AK30" s="326">
        <v>0</v>
      </c>
      <c r="AL30" s="609">
        <f>SUM(AF30:AK30)</f>
        <v>0</v>
      </c>
      <c r="AM30" s="676">
        <f>I30+AE30</f>
        <v>4208819</v>
      </c>
      <c r="AN30" s="492">
        <f>J30+V30</f>
        <v>3112343</v>
      </c>
      <c r="AO30" s="573">
        <f>K30+Z30</f>
        <v>10000</v>
      </c>
      <c r="AP30" s="492">
        <f t="shared" si="12"/>
        <v>1055353</v>
      </c>
      <c r="AQ30" s="492">
        <f t="shared" si="12"/>
        <v>31123</v>
      </c>
      <c r="AR30" s="492">
        <f t="shared" si="12"/>
        <v>0</v>
      </c>
      <c r="AS30" s="609">
        <f>O30+AL30</f>
        <v>4.9090999999999996</v>
      </c>
      <c r="AT30" s="240"/>
    </row>
    <row r="31" spans="1:46" ht="12.95" customHeight="1" x14ac:dyDescent="0.25">
      <c r="A31" s="205">
        <v>5</v>
      </c>
      <c r="B31" s="246">
        <v>5402</v>
      </c>
      <c r="C31" s="247">
        <v>600098958</v>
      </c>
      <c r="D31" s="246">
        <v>70983623</v>
      </c>
      <c r="E31" s="273" t="s">
        <v>764</v>
      </c>
      <c r="F31" s="246">
        <v>3117</v>
      </c>
      <c r="G31" s="209" t="s">
        <v>278</v>
      </c>
      <c r="H31" s="209" t="s">
        <v>263</v>
      </c>
      <c r="I31" s="580">
        <v>556349</v>
      </c>
      <c r="J31" s="660">
        <v>412722</v>
      </c>
      <c r="K31" s="660">
        <v>0</v>
      </c>
      <c r="L31" s="55">
        <v>139500</v>
      </c>
      <c r="M31" s="55">
        <v>4127</v>
      </c>
      <c r="N31" s="325">
        <v>0</v>
      </c>
      <c r="O31" s="719">
        <v>1.1400000000000001</v>
      </c>
      <c r="P31" s="440">
        <f t="shared" si="10"/>
        <v>0</v>
      </c>
      <c r="Q31" s="573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>P31+Q31+R31+S31+T31+U31</f>
        <v>0</v>
      </c>
      <c r="W31" s="325">
        <v>0</v>
      </c>
      <c r="X31" s="325">
        <v>0</v>
      </c>
      <c r="Y31" s="325">
        <v>0</v>
      </c>
      <c r="Z31" s="492">
        <f>W31+X31+Y31</f>
        <v>0</v>
      </c>
      <c r="AA31" s="492">
        <f>V31+Z31</f>
        <v>0</v>
      </c>
      <c r="AB31" s="494">
        <f>ROUND((V31+Z31)*33.8%,0)</f>
        <v>0</v>
      </c>
      <c r="AC31" s="494">
        <f>ROUND(V31*1%,0)</f>
        <v>0</v>
      </c>
      <c r="AD31" s="492">
        <v>0</v>
      </c>
      <c r="AE31" s="753">
        <f t="shared" si="11"/>
        <v>0</v>
      </c>
      <c r="AF31" s="688">
        <v>0</v>
      </c>
      <c r="AG31" s="576">
        <v>0</v>
      </c>
      <c r="AH31" s="326">
        <v>0</v>
      </c>
      <c r="AI31" s="326">
        <v>0</v>
      </c>
      <c r="AJ31" s="326">
        <v>0</v>
      </c>
      <c r="AK31" s="326">
        <v>0</v>
      </c>
      <c r="AL31" s="609">
        <f>SUM(AF31:AK31)</f>
        <v>0</v>
      </c>
      <c r="AM31" s="676">
        <f>I31+AE31</f>
        <v>556349</v>
      </c>
      <c r="AN31" s="492">
        <f>J31+V31</f>
        <v>412722</v>
      </c>
      <c r="AO31" s="573">
        <f>K31+Z31</f>
        <v>0</v>
      </c>
      <c r="AP31" s="492">
        <f t="shared" si="12"/>
        <v>139500</v>
      </c>
      <c r="AQ31" s="492">
        <f t="shared" si="12"/>
        <v>4127</v>
      </c>
      <c r="AR31" s="492">
        <f t="shared" si="12"/>
        <v>0</v>
      </c>
      <c r="AS31" s="609">
        <f>O31+AL31</f>
        <v>1.1400000000000001</v>
      </c>
      <c r="AT31" s="240"/>
    </row>
    <row r="32" spans="1:46" ht="12.95" customHeight="1" x14ac:dyDescent="0.25">
      <c r="A32" s="205">
        <v>5</v>
      </c>
      <c r="B32" s="246">
        <v>5402</v>
      </c>
      <c r="C32" s="247">
        <v>600098958</v>
      </c>
      <c r="D32" s="246">
        <v>70983623</v>
      </c>
      <c r="E32" s="273" t="s">
        <v>764</v>
      </c>
      <c r="F32" s="246">
        <v>3143</v>
      </c>
      <c r="G32" s="209" t="s">
        <v>794</v>
      </c>
      <c r="H32" s="209" t="s">
        <v>262</v>
      </c>
      <c r="I32" s="580">
        <v>1422631</v>
      </c>
      <c r="J32" s="660">
        <v>1049409</v>
      </c>
      <c r="K32" s="660">
        <v>6000</v>
      </c>
      <c r="L32" s="55">
        <v>356728</v>
      </c>
      <c r="M32" s="55">
        <v>10494</v>
      </c>
      <c r="N32" s="325">
        <v>0</v>
      </c>
      <c r="O32" s="719">
        <v>2.0177</v>
      </c>
      <c r="P32" s="440">
        <f t="shared" si="10"/>
        <v>-4000</v>
      </c>
      <c r="Q32" s="573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>P32+Q32+R32+S32+T32+U32</f>
        <v>-4000</v>
      </c>
      <c r="W32" s="325">
        <v>4000</v>
      </c>
      <c r="X32" s="325">
        <v>0</v>
      </c>
      <c r="Y32" s="325">
        <v>0</v>
      </c>
      <c r="Z32" s="492">
        <f>W32+X32+Y32</f>
        <v>4000</v>
      </c>
      <c r="AA32" s="492">
        <f>V32+Z32</f>
        <v>0</v>
      </c>
      <c r="AB32" s="494">
        <f>ROUND((V32+Z32)*33.8%,0)</f>
        <v>0</v>
      </c>
      <c r="AC32" s="494">
        <f>ROUND(V32*1%,0)</f>
        <v>-40</v>
      </c>
      <c r="AD32" s="492">
        <v>0</v>
      </c>
      <c r="AE32" s="753">
        <f t="shared" si="11"/>
        <v>-40</v>
      </c>
      <c r="AF32" s="688">
        <v>0</v>
      </c>
      <c r="AG32" s="576">
        <v>0</v>
      </c>
      <c r="AH32" s="326">
        <v>0</v>
      </c>
      <c r="AI32" s="326">
        <v>0</v>
      </c>
      <c r="AJ32" s="326">
        <v>0</v>
      </c>
      <c r="AK32" s="326">
        <v>0</v>
      </c>
      <c r="AL32" s="609">
        <f>SUM(AF32:AK32)</f>
        <v>0</v>
      </c>
      <c r="AM32" s="676">
        <f>I32+AE32</f>
        <v>1422591</v>
      </c>
      <c r="AN32" s="492">
        <f>J32+V32</f>
        <v>1045409</v>
      </c>
      <c r="AO32" s="573">
        <f>K32+Z32</f>
        <v>10000</v>
      </c>
      <c r="AP32" s="492">
        <f t="shared" si="12"/>
        <v>356728</v>
      </c>
      <c r="AQ32" s="492">
        <f t="shared" si="12"/>
        <v>10454</v>
      </c>
      <c r="AR32" s="492">
        <f t="shared" si="12"/>
        <v>0</v>
      </c>
      <c r="AS32" s="609">
        <f>O32+AL32</f>
        <v>2.0177</v>
      </c>
      <c r="AT32" s="240"/>
    </row>
    <row r="33" spans="1:46" ht="12.95" customHeight="1" x14ac:dyDescent="0.25">
      <c r="A33" s="198">
        <v>5</v>
      </c>
      <c r="B33" s="250">
        <v>5402</v>
      </c>
      <c r="C33" s="251">
        <v>600098958</v>
      </c>
      <c r="D33" s="250">
        <v>70983623</v>
      </c>
      <c r="E33" s="274" t="s">
        <v>765</v>
      </c>
      <c r="F33" s="250"/>
      <c r="G33" s="275"/>
      <c r="H33" s="563"/>
      <c r="I33" s="647">
        <v>7873690</v>
      </c>
      <c r="J33" s="662">
        <v>5823150</v>
      </c>
      <c r="K33" s="662">
        <v>18000</v>
      </c>
      <c r="L33" s="357">
        <v>1974309</v>
      </c>
      <c r="M33" s="357">
        <v>58231</v>
      </c>
      <c r="N33" s="357">
        <v>0</v>
      </c>
      <c r="O33" s="723">
        <v>10.066799999999999</v>
      </c>
      <c r="P33" s="443">
        <f t="shared" ref="P33:AS33" si="13">SUM(P29:P32)</f>
        <v>-12000</v>
      </c>
      <c r="Q33" s="443">
        <f t="shared" si="13"/>
        <v>0</v>
      </c>
      <c r="R33" s="357">
        <f t="shared" si="13"/>
        <v>0</v>
      </c>
      <c r="S33" s="357">
        <f t="shared" si="13"/>
        <v>0</v>
      </c>
      <c r="T33" s="357">
        <f t="shared" si="13"/>
        <v>0</v>
      </c>
      <c r="U33" s="357">
        <f t="shared" si="13"/>
        <v>0</v>
      </c>
      <c r="V33" s="357">
        <f t="shared" si="13"/>
        <v>-12000</v>
      </c>
      <c r="W33" s="357">
        <f t="shared" si="13"/>
        <v>12000</v>
      </c>
      <c r="X33" s="357">
        <f t="shared" si="13"/>
        <v>0</v>
      </c>
      <c r="Y33" s="357">
        <f t="shared" si="13"/>
        <v>0</v>
      </c>
      <c r="Z33" s="357">
        <f t="shared" si="13"/>
        <v>12000</v>
      </c>
      <c r="AA33" s="357">
        <f t="shared" si="13"/>
        <v>0</v>
      </c>
      <c r="AB33" s="357">
        <f t="shared" si="13"/>
        <v>0</v>
      </c>
      <c r="AC33" s="357">
        <f t="shared" si="13"/>
        <v>-120</v>
      </c>
      <c r="AD33" s="357">
        <f t="shared" si="13"/>
        <v>0</v>
      </c>
      <c r="AE33" s="666">
        <f t="shared" si="13"/>
        <v>-120</v>
      </c>
      <c r="AF33" s="803">
        <f t="shared" si="13"/>
        <v>0</v>
      </c>
      <c r="AG33" s="358">
        <f t="shared" si="13"/>
        <v>0</v>
      </c>
      <c r="AH33" s="358">
        <f t="shared" si="13"/>
        <v>0</v>
      </c>
      <c r="AI33" s="358">
        <f t="shared" si="13"/>
        <v>0</v>
      </c>
      <c r="AJ33" s="358">
        <f t="shared" si="13"/>
        <v>0</v>
      </c>
      <c r="AK33" s="358">
        <f t="shared" si="13"/>
        <v>0</v>
      </c>
      <c r="AL33" s="258">
        <f t="shared" si="13"/>
        <v>0</v>
      </c>
      <c r="AM33" s="669">
        <f t="shared" si="13"/>
        <v>7873570</v>
      </c>
      <c r="AN33" s="443">
        <f t="shared" si="13"/>
        <v>5811150</v>
      </c>
      <c r="AO33" s="357">
        <f t="shared" si="13"/>
        <v>30000</v>
      </c>
      <c r="AP33" s="357">
        <f t="shared" si="13"/>
        <v>1974309</v>
      </c>
      <c r="AQ33" s="357">
        <f t="shared" si="13"/>
        <v>58111</v>
      </c>
      <c r="AR33" s="357">
        <f t="shared" si="13"/>
        <v>0</v>
      </c>
      <c r="AS33" s="258">
        <f t="shared" si="13"/>
        <v>10.066799999999999</v>
      </c>
      <c r="AT33" s="240"/>
    </row>
    <row r="34" spans="1:46" ht="12.95" customHeight="1" x14ac:dyDescent="0.25">
      <c r="A34" s="205">
        <v>6</v>
      </c>
      <c r="B34" s="206">
        <v>5405</v>
      </c>
      <c r="C34" s="255">
        <v>600099121</v>
      </c>
      <c r="D34" s="206">
        <v>70695521</v>
      </c>
      <c r="E34" s="208" t="s">
        <v>404</v>
      </c>
      <c r="F34" s="206">
        <v>3111</v>
      </c>
      <c r="G34" s="270" t="s">
        <v>290</v>
      </c>
      <c r="H34" s="209" t="s">
        <v>262</v>
      </c>
      <c r="I34" s="580">
        <v>1617557</v>
      </c>
      <c r="J34" s="660">
        <v>1199968</v>
      </c>
      <c r="K34" s="660">
        <v>0</v>
      </c>
      <c r="L34" s="55">
        <v>405589</v>
      </c>
      <c r="M34" s="55">
        <v>12000</v>
      </c>
      <c r="N34" s="325">
        <v>0</v>
      </c>
      <c r="O34" s="719">
        <v>2</v>
      </c>
      <c r="P34" s="445">
        <f t="shared" ref="P34:P37" si="14">W34*-1</f>
        <v>0</v>
      </c>
      <c r="Q34" s="573">
        <v>0</v>
      </c>
      <c r="R34" s="325">
        <v>0</v>
      </c>
      <c r="S34" s="325">
        <v>0</v>
      </c>
      <c r="T34" s="325">
        <v>0</v>
      </c>
      <c r="U34" s="325">
        <v>0</v>
      </c>
      <c r="V34" s="492">
        <f>P34+Q34+R34+S34+T34+U34</f>
        <v>0</v>
      </c>
      <c r="W34" s="325">
        <v>0</v>
      </c>
      <c r="X34" s="325">
        <v>0</v>
      </c>
      <c r="Y34" s="325">
        <v>0</v>
      </c>
      <c r="Z34" s="492">
        <f>W34+X34+Y34</f>
        <v>0</v>
      </c>
      <c r="AA34" s="492">
        <f>V34+Z34</f>
        <v>0</v>
      </c>
      <c r="AB34" s="494">
        <f>ROUND((V34+Z34)*33.8%,0)</f>
        <v>0</v>
      </c>
      <c r="AC34" s="494">
        <f>ROUND(V34*1%,0)</f>
        <v>0</v>
      </c>
      <c r="AD34" s="492">
        <v>0</v>
      </c>
      <c r="AE34" s="753">
        <f t="shared" ref="AE34:AE37" si="15">AA34+AB34+AC34+AD34</f>
        <v>0</v>
      </c>
      <c r="AF34" s="688">
        <v>0</v>
      </c>
      <c r="AG34" s="576">
        <v>0</v>
      </c>
      <c r="AH34" s="326">
        <v>0</v>
      </c>
      <c r="AI34" s="326">
        <v>0</v>
      </c>
      <c r="AJ34" s="326">
        <v>0</v>
      </c>
      <c r="AK34" s="326">
        <v>0</v>
      </c>
      <c r="AL34" s="609">
        <f>SUM(AF34:AK34)</f>
        <v>0</v>
      </c>
      <c r="AM34" s="676">
        <f>I34+AE34</f>
        <v>1617557</v>
      </c>
      <c r="AN34" s="492">
        <f>J34+V34</f>
        <v>1199968</v>
      </c>
      <c r="AO34" s="573">
        <f>K34+Z34</f>
        <v>0</v>
      </c>
      <c r="AP34" s="492">
        <f t="shared" ref="AP34:AR37" si="16">L34+AB34</f>
        <v>405589</v>
      </c>
      <c r="AQ34" s="492">
        <f t="shared" si="16"/>
        <v>12000</v>
      </c>
      <c r="AR34" s="492">
        <f t="shared" si="16"/>
        <v>0</v>
      </c>
      <c r="AS34" s="609">
        <f>O34+AL34</f>
        <v>2</v>
      </c>
      <c r="AT34" s="240"/>
    </row>
    <row r="35" spans="1:46" ht="12.95" customHeight="1" x14ac:dyDescent="0.25">
      <c r="A35" s="205">
        <v>6</v>
      </c>
      <c r="B35" s="246">
        <v>5405</v>
      </c>
      <c r="C35" s="247">
        <v>600099121</v>
      </c>
      <c r="D35" s="206">
        <v>70695521</v>
      </c>
      <c r="E35" s="273" t="s">
        <v>404</v>
      </c>
      <c r="F35" s="246">
        <v>3113</v>
      </c>
      <c r="G35" s="270" t="s">
        <v>294</v>
      </c>
      <c r="H35" s="209" t="s">
        <v>262</v>
      </c>
      <c r="I35" s="580">
        <v>8579741</v>
      </c>
      <c r="J35" s="660">
        <v>6364793</v>
      </c>
      <c r="K35" s="660">
        <v>0</v>
      </c>
      <c r="L35" s="55">
        <v>2151300</v>
      </c>
      <c r="M35" s="55">
        <v>63648</v>
      </c>
      <c r="N35" s="325">
        <v>0</v>
      </c>
      <c r="O35" s="719">
        <v>10.181100000000001</v>
      </c>
      <c r="P35" s="440">
        <f t="shared" si="14"/>
        <v>0</v>
      </c>
      <c r="Q35" s="573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>P35+Q35+R35+S35+T35+U35</f>
        <v>0</v>
      </c>
      <c r="W35" s="325">
        <v>0</v>
      </c>
      <c r="X35" s="325">
        <v>0</v>
      </c>
      <c r="Y35" s="325">
        <v>0</v>
      </c>
      <c r="Z35" s="492">
        <f>W35+X35+Y35</f>
        <v>0</v>
      </c>
      <c r="AA35" s="492">
        <f>V35+Z35</f>
        <v>0</v>
      </c>
      <c r="AB35" s="494">
        <f>ROUND((V35+Z35)*33.8%,0)</f>
        <v>0</v>
      </c>
      <c r="AC35" s="494">
        <f>ROUND(V35*1%,0)</f>
        <v>0</v>
      </c>
      <c r="AD35" s="492">
        <v>0</v>
      </c>
      <c r="AE35" s="753">
        <f t="shared" si="15"/>
        <v>0</v>
      </c>
      <c r="AF35" s="688">
        <v>0</v>
      </c>
      <c r="AG35" s="576">
        <v>0</v>
      </c>
      <c r="AH35" s="326">
        <v>0</v>
      </c>
      <c r="AI35" s="326">
        <v>0</v>
      </c>
      <c r="AJ35" s="326">
        <v>0</v>
      </c>
      <c r="AK35" s="326">
        <v>0</v>
      </c>
      <c r="AL35" s="609">
        <f>SUM(AF35:AK35)</f>
        <v>0</v>
      </c>
      <c r="AM35" s="676">
        <f>I35+AE35</f>
        <v>8579741</v>
      </c>
      <c r="AN35" s="492">
        <f>J35+V35</f>
        <v>6364793</v>
      </c>
      <c r="AO35" s="573">
        <f>K35+Z35</f>
        <v>0</v>
      </c>
      <c r="AP35" s="492">
        <f t="shared" si="16"/>
        <v>2151300</v>
      </c>
      <c r="AQ35" s="492">
        <f t="shared" si="16"/>
        <v>63648</v>
      </c>
      <c r="AR35" s="492">
        <f t="shared" si="16"/>
        <v>0</v>
      </c>
      <c r="AS35" s="609">
        <f>O35+AL35</f>
        <v>10.181100000000001</v>
      </c>
      <c r="AT35" s="240"/>
    </row>
    <row r="36" spans="1:46" ht="12.95" customHeight="1" x14ac:dyDescent="0.25">
      <c r="A36" s="205">
        <v>6</v>
      </c>
      <c r="B36" s="246">
        <v>5405</v>
      </c>
      <c r="C36" s="247">
        <v>600099121</v>
      </c>
      <c r="D36" s="206">
        <v>70695521</v>
      </c>
      <c r="E36" s="273" t="s">
        <v>404</v>
      </c>
      <c r="F36" s="246">
        <v>3113</v>
      </c>
      <c r="G36" s="209" t="s">
        <v>278</v>
      </c>
      <c r="H36" s="209" t="s">
        <v>263</v>
      </c>
      <c r="I36" s="580">
        <v>3107244</v>
      </c>
      <c r="J36" s="660">
        <v>2305077</v>
      </c>
      <c r="K36" s="660">
        <v>0</v>
      </c>
      <c r="L36" s="55">
        <v>779116</v>
      </c>
      <c r="M36" s="55">
        <v>23051</v>
      </c>
      <c r="N36" s="325">
        <v>0</v>
      </c>
      <c r="O36" s="719">
        <v>5.99</v>
      </c>
      <c r="P36" s="440">
        <f t="shared" si="14"/>
        <v>0</v>
      </c>
      <c r="Q36" s="573">
        <v>0</v>
      </c>
      <c r="R36" s="325">
        <v>0</v>
      </c>
      <c r="S36" s="325">
        <v>0</v>
      </c>
      <c r="T36" s="325">
        <v>0</v>
      </c>
      <c r="U36" s="325">
        <v>0</v>
      </c>
      <c r="V36" s="492">
        <f>P36+Q36+R36+S36+T36+U36</f>
        <v>0</v>
      </c>
      <c r="W36" s="325">
        <v>0</v>
      </c>
      <c r="X36" s="325">
        <v>0</v>
      </c>
      <c r="Y36" s="325">
        <v>0</v>
      </c>
      <c r="Z36" s="492">
        <f>W36+X36+Y36</f>
        <v>0</v>
      </c>
      <c r="AA36" s="492">
        <f>V36+Z36</f>
        <v>0</v>
      </c>
      <c r="AB36" s="494">
        <f>ROUND((V36+Z36)*33.8%,0)</f>
        <v>0</v>
      </c>
      <c r="AC36" s="494">
        <f>ROUND(V36*1%,0)</f>
        <v>0</v>
      </c>
      <c r="AD36" s="492">
        <v>0</v>
      </c>
      <c r="AE36" s="753">
        <f t="shared" si="15"/>
        <v>0</v>
      </c>
      <c r="AF36" s="688">
        <v>0</v>
      </c>
      <c r="AG36" s="576">
        <v>0</v>
      </c>
      <c r="AH36" s="326">
        <v>0</v>
      </c>
      <c r="AI36" s="326">
        <v>0</v>
      </c>
      <c r="AJ36" s="326">
        <v>0</v>
      </c>
      <c r="AK36" s="326">
        <v>0</v>
      </c>
      <c r="AL36" s="609">
        <f>SUM(AF36:AK36)</f>
        <v>0</v>
      </c>
      <c r="AM36" s="676">
        <f>I36+AE36</f>
        <v>3107244</v>
      </c>
      <c r="AN36" s="492">
        <f>J36+V36</f>
        <v>2305077</v>
      </c>
      <c r="AO36" s="573">
        <f>K36+Z36</f>
        <v>0</v>
      </c>
      <c r="AP36" s="492">
        <f t="shared" si="16"/>
        <v>779116</v>
      </c>
      <c r="AQ36" s="492">
        <f t="shared" si="16"/>
        <v>23051</v>
      </c>
      <c r="AR36" s="492">
        <f t="shared" si="16"/>
        <v>0</v>
      </c>
      <c r="AS36" s="609">
        <f>O36+AL36</f>
        <v>5.99</v>
      </c>
      <c r="AT36" s="240"/>
    </row>
    <row r="37" spans="1:46" ht="12.95" customHeight="1" x14ac:dyDescent="0.25">
      <c r="A37" s="205">
        <v>6</v>
      </c>
      <c r="B37" s="246">
        <v>5405</v>
      </c>
      <c r="C37" s="247">
        <v>600099121</v>
      </c>
      <c r="D37" s="206">
        <v>70695521</v>
      </c>
      <c r="E37" s="273" t="s">
        <v>404</v>
      </c>
      <c r="F37" s="246">
        <v>3143</v>
      </c>
      <c r="G37" s="209" t="s">
        <v>795</v>
      </c>
      <c r="H37" s="209" t="s">
        <v>262</v>
      </c>
      <c r="I37" s="580">
        <v>743054</v>
      </c>
      <c r="J37" s="660">
        <v>551227</v>
      </c>
      <c r="K37" s="660">
        <v>0</v>
      </c>
      <c r="L37" s="55">
        <v>186315</v>
      </c>
      <c r="M37" s="55">
        <v>5512</v>
      </c>
      <c r="N37" s="325">
        <v>0</v>
      </c>
      <c r="O37" s="719">
        <v>1.0714999999999999</v>
      </c>
      <c r="P37" s="440">
        <f t="shared" si="14"/>
        <v>0</v>
      </c>
      <c r="Q37" s="573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>P37+Q37+R37+S37+T37+U37</f>
        <v>0</v>
      </c>
      <c r="W37" s="325">
        <v>0</v>
      </c>
      <c r="X37" s="325">
        <v>0</v>
      </c>
      <c r="Y37" s="325">
        <v>0</v>
      </c>
      <c r="Z37" s="492">
        <f>W37+X37+Y37</f>
        <v>0</v>
      </c>
      <c r="AA37" s="492">
        <f>V37+Z37</f>
        <v>0</v>
      </c>
      <c r="AB37" s="494">
        <f>ROUND((V37+Z37)*33.8%,0)</f>
        <v>0</v>
      </c>
      <c r="AC37" s="494">
        <f>ROUND(V37*1%,0)</f>
        <v>0</v>
      </c>
      <c r="AD37" s="492">
        <v>0</v>
      </c>
      <c r="AE37" s="753">
        <f t="shared" si="15"/>
        <v>0</v>
      </c>
      <c r="AF37" s="688">
        <v>0</v>
      </c>
      <c r="AG37" s="576">
        <v>0</v>
      </c>
      <c r="AH37" s="326">
        <v>0</v>
      </c>
      <c r="AI37" s="326">
        <v>0</v>
      </c>
      <c r="AJ37" s="326">
        <v>0</v>
      </c>
      <c r="AK37" s="326">
        <v>0</v>
      </c>
      <c r="AL37" s="609">
        <f>SUM(AF37:AK37)</f>
        <v>0</v>
      </c>
      <c r="AM37" s="676">
        <f>I37+AE37</f>
        <v>743054</v>
      </c>
      <c r="AN37" s="492">
        <f>J37+V37</f>
        <v>551227</v>
      </c>
      <c r="AO37" s="573">
        <f>K37+Z37</f>
        <v>0</v>
      </c>
      <c r="AP37" s="492">
        <f t="shared" si="16"/>
        <v>186315</v>
      </c>
      <c r="AQ37" s="492">
        <f t="shared" si="16"/>
        <v>5512</v>
      </c>
      <c r="AR37" s="492">
        <f t="shared" si="16"/>
        <v>0</v>
      </c>
      <c r="AS37" s="609">
        <f>O37+AL37</f>
        <v>1.0714999999999999</v>
      </c>
      <c r="AT37" s="240"/>
    </row>
    <row r="38" spans="1:46" ht="12.95" customHeight="1" x14ac:dyDescent="0.25">
      <c r="A38" s="198">
        <v>6</v>
      </c>
      <c r="B38" s="277">
        <v>5405</v>
      </c>
      <c r="C38" s="257">
        <v>600099121</v>
      </c>
      <c r="D38" s="277">
        <v>70695521</v>
      </c>
      <c r="E38" s="274" t="s">
        <v>405</v>
      </c>
      <c r="F38" s="277"/>
      <c r="G38" s="278"/>
      <c r="H38" s="564"/>
      <c r="I38" s="647">
        <v>14047596</v>
      </c>
      <c r="J38" s="662">
        <v>10421065</v>
      </c>
      <c r="K38" s="662">
        <v>0</v>
      </c>
      <c r="L38" s="357">
        <v>3522320</v>
      </c>
      <c r="M38" s="357">
        <v>104211</v>
      </c>
      <c r="N38" s="357">
        <v>0</v>
      </c>
      <c r="O38" s="723">
        <v>19.242600000000003</v>
      </c>
      <c r="P38" s="443">
        <f t="shared" ref="P38:AS38" si="17">SUM(P34:P37)</f>
        <v>0</v>
      </c>
      <c r="Q38" s="443">
        <f t="shared" si="17"/>
        <v>0</v>
      </c>
      <c r="R38" s="357">
        <f t="shared" si="17"/>
        <v>0</v>
      </c>
      <c r="S38" s="357">
        <f t="shared" si="17"/>
        <v>0</v>
      </c>
      <c r="T38" s="357">
        <f t="shared" si="17"/>
        <v>0</v>
      </c>
      <c r="U38" s="357">
        <f t="shared" si="17"/>
        <v>0</v>
      </c>
      <c r="V38" s="357">
        <f t="shared" si="17"/>
        <v>0</v>
      </c>
      <c r="W38" s="357">
        <f t="shared" si="17"/>
        <v>0</v>
      </c>
      <c r="X38" s="357">
        <f t="shared" si="17"/>
        <v>0</v>
      </c>
      <c r="Y38" s="357">
        <f t="shared" si="17"/>
        <v>0</v>
      </c>
      <c r="Z38" s="357">
        <f t="shared" si="17"/>
        <v>0</v>
      </c>
      <c r="AA38" s="357">
        <f t="shared" si="17"/>
        <v>0</v>
      </c>
      <c r="AB38" s="357">
        <f t="shared" si="17"/>
        <v>0</v>
      </c>
      <c r="AC38" s="357">
        <f t="shared" si="17"/>
        <v>0</v>
      </c>
      <c r="AD38" s="357">
        <f t="shared" si="17"/>
        <v>0</v>
      </c>
      <c r="AE38" s="666">
        <f t="shared" si="17"/>
        <v>0</v>
      </c>
      <c r="AF38" s="803">
        <f t="shared" si="17"/>
        <v>0</v>
      </c>
      <c r="AG38" s="358">
        <f t="shared" si="17"/>
        <v>0</v>
      </c>
      <c r="AH38" s="358">
        <f t="shared" si="17"/>
        <v>0</v>
      </c>
      <c r="AI38" s="358">
        <f t="shared" si="17"/>
        <v>0</v>
      </c>
      <c r="AJ38" s="358">
        <f t="shared" si="17"/>
        <v>0</v>
      </c>
      <c r="AK38" s="358">
        <f t="shared" si="17"/>
        <v>0</v>
      </c>
      <c r="AL38" s="258">
        <f t="shared" si="17"/>
        <v>0</v>
      </c>
      <c r="AM38" s="669">
        <f t="shared" si="17"/>
        <v>14047596</v>
      </c>
      <c r="AN38" s="443">
        <f t="shared" si="17"/>
        <v>10421065</v>
      </c>
      <c r="AO38" s="357">
        <f t="shared" si="17"/>
        <v>0</v>
      </c>
      <c r="AP38" s="357">
        <f t="shared" si="17"/>
        <v>3522320</v>
      </c>
      <c r="AQ38" s="357">
        <f t="shared" si="17"/>
        <v>104211</v>
      </c>
      <c r="AR38" s="357">
        <f t="shared" si="17"/>
        <v>0</v>
      </c>
      <c r="AS38" s="258">
        <f t="shared" si="17"/>
        <v>19.242600000000003</v>
      </c>
      <c r="AT38" s="240"/>
    </row>
    <row r="39" spans="1:46" ht="12.95" customHeight="1" x14ac:dyDescent="0.25">
      <c r="A39" s="205">
        <v>7</v>
      </c>
      <c r="B39" s="246">
        <v>5410</v>
      </c>
      <c r="C39" s="247">
        <v>600099318</v>
      </c>
      <c r="D39" s="206">
        <v>854778</v>
      </c>
      <c r="E39" s="273" t="s">
        <v>406</v>
      </c>
      <c r="F39" s="246">
        <v>3111</v>
      </c>
      <c r="G39" s="270" t="s">
        <v>290</v>
      </c>
      <c r="H39" s="209" t="s">
        <v>262</v>
      </c>
      <c r="I39" s="580">
        <v>3631961</v>
      </c>
      <c r="J39" s="660">
        <v>2694333</v>
      </c>
      <c r="K39" s="660">
        <v>0</v>
      </c>
      <c r="L39" s="55">
        <v>910685</v>
      </c>
      <c r="M39" s="55">
        <v>26943</v>
      </c>
      <c r="N39" s="325">
        <v>0</v>
      </c>
      <c r="O39" s="719">
        <v>4.7300000000000004</v>
      </c>
      <c r="P39" s="445">
        <f t="shared" ref="P39:P42" si="18">W39*-1</f>
        <v>0</v>
      </c>
      <c r="Q39" s="573">
        <v>0</v>
      </c>
      <c r="R39" s="325">
        <v>0</v>
      </c>
      <c r="S39" s="325">
        <v>0</v>
      </c>
      <c r="T39" s="325">
        <v>0</v>
      </c>
      <c r="U39" s="325">
        <v>0</v>
      </c>
      <c r="V39" s="492">
        <f>P39+Q39+R39+S39+T39+U39</f>
        <v>0</v>
      </c>
      <c r="W39" s="325">
        <v>0</v>
      </c>
      <c r="X39" s="325">
        <v>0</v>
      </c>
      <c r="Y39" s="325">
        <v>0</v>
      </c>
      <c r="Z39" s="492">
        <f>W39+X39+Y39</f>
        <v>0</v>
      </c>
      <c r="AA39" s="492">
        <f>V39+Z39</f>
        <v>0</v>
      </c>
      <c r="AB39" s="494">
        <f>ROUND((V39+Z39)*33.8%,0)</f>
        <v>0</v>
      </c>
      <c r="AC39" s="494">
        <f>ROUND(V39*1%,0)</f>
        <v>0</v>
      </c>
      <c r="AD39" s="492">
        <v>0</v>
      </c>
      <c r="AE39" s="753">
        <f t="shared" ref="AE39:AE42" si="19">AA39+AB39+AC39+AD39</f>
        <v>0</v>
      </c>
      <c r="AF39" s="688">
        <v>0</v>
      </c>
      <c r="AG39" s="576">
        <v>0</v>
      </c>
      <c r="AH39" s="326">
        <v>0</v>
      </c>
      <c r="AI39" s="326">
        <v>0</v>
      </c>
      <c r="AJ39" s="326">
        <v>0</v>
      </c>
      <c r="AK39" s="326">
        <v>0</v>
      </c>
      <c r="AL39" s="609">
        <f>SUM(AF39:AK39)</f>
        <v>0</v>
      </c>
      <c r="AM39" s="676">
        <f>I39+AE39</f>
        <v>3631961</v>
      </c>
      <c r="AN39" s="492">
        <f>J39+V39</f>
        <v>2694333</v>
      </c>
      <c r="AO39" s="573">
        <f>K39+Z39</f>
        <v>0</v>
      </c>
      <c r="AP39" s="492">
        <f t="shared" ref="AP39:AR42" si="20">L39+AB39</f>
        <v>910685</v>
      </c>
      <c r="AQ39" s="492">
        <f t="shared" si="20"/>
        <v>26943</v>
      </c>
      <c r="AR39" s="492">
        <f t="shared" si="20"/>
        <v>0</v>
      </c>
      <c r="AS39" s="609">
        <f>O39+AL39</f>
        <v>4.7300000000000004</v>
      </c>
      <c r="AT39" s="240"/>
    </row>
    <row r="40" spans="1:46" ht="12.95" customHeight="1" x14ac:dyDescent="0.25">
      <c r="A40" s="205">
        <v>7</v>
      </c>
      <c r="B40" s="246">
        <v>5410</v>
      </c>
      <c r="C40" s="247">
        <v>600099318</v>
      </c>
      <c r="D40" s="206">
        <v>854778</v>
      </c>
      <c r="E40" s="273" t="s">
        <v>406</v>
      </c>
      <c r="F40" s="246">
        <v>3113</v>
      </c>
      <c r="G40" s="270" t="s">
        <v>294</v>
      </c>
      <c r="H40" s="209" t="s">
        <v>262</v>
      </c>
      <c r="I40" s="580">
        <v>11489996</v>
      </c>
      <c r="J40" s="660">
        <v>8499915</v>
      </c>
      <c r="K40" s="660">
        <v>24000</v>
      </c>
      <c r="L40" s="55">
        <v>2881082</v>
      </c>
      <c r="M40" s="55">
        <v>84999</v>
      </c>
      <c r="N40" s="325">
        <v>0</v>
      </c>
      <c r="O40" s="719">
        <v>12.1364</v>
      </c>
      <c r="P40" s="440">
        <f t="shared" si="18"/>
        <v>-16000</v>
      </c>
      <c r="Q40" s="573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>P40+Q40+R40+S40+T40+U40</f>
        <v>-16000</v>
      </c>
      <c r="W40" s="325">
        <v>16000</v>
      </c>
      <c r="X40" s="325">
        <v>0</v>
      </c>
      <c r="Y40" s="325">
        <v>0</v>
      </c>
      <c r="Z40" s="492">
        <f>W40+X40+Y40</f>
        <v>16000</v>
      </c>
      <c r="AA40" s="492">
        <f>V40+Z40</f>
        <v>0</v>
      </c>
      <c r="AB40" s="494">
        <f>ROUND((V40+Z40)*33.8%,0)</f>
        <v>0</v>
      </c>
      <c r="AC40" s="494">
        <f>ROUND(V40*1%,0)</f>
        <v>-160</v>
      </c>
      <c r="AD40" s="492">
        <v>0</v>
      </c>
      <c r="AE40" s="753">
        <f t="shared" si="19"/>
        <v>-160</v>
      </c>
      <c r="AF40" s="688">
        <v>0</v>
      </c>
      <c r="AG40" s="576">
        <v>0</v>
      </c>
      <c r="AH40" s="326">
        <v>0</v>
      </c>
      <c r="AI40" s="326">
        <v>0</v>
      </c>
      <c r="AJ40" s="326">
        <v>0</v>
      </c>
      <c r="AK40" s="326">
        <v>0</v>
      </c>
      <c r="AL40" s="609">
        <f>SUM(AF40:AK40)</f>
        <v>0</v>
      </c>
      <c r="AM40" s="676">
        <f>I40+AE40</f>
        <v>11489836</v>
      </c>
      <c r="AN40" s="492">
        <f>J40+V40</f>
        <v>8483915</v>
      </c>
      <c r="AO40" s="573">
        <f>K40+Z40</f>
        <v>40000</v>
      </c>
      <c r="AP40" s="492">
        <f t="shared" si="20"/>
        <v>2881082</v>
      </c>
      <c r="AQ40" s="492">
        <f t="shared" si="20"/>
        <v>84839</v>
      </c>
      <c r="AR40" s="492">
        <f t="shared" si="20"/>
        <v>0</v>
      </c>
      <c r="AS40" s="609">
        <f>O40+AL40</f>
        <v>12.1364</v>
      </c>
      <c r="AT40" s="240"/>
    </row>
    <row r="41" spans="1:46" ht="12.95" customHeight="1" x14ac:dyDescent="0.25">
      <c r="A41" s="205">
        <v>7</v>
      </c>
      <c r="B41" s="246">
        <v>5410</v>
      </c>
      <c r="C41" s="247">
        <v>600099318</v>
      </c>
      <c r="D41" s="206">
        <v>854778</v>
      </c>
      <c r="E41" s="273" t="s">
        <v>406</v>
      </c>
      <c r="F41" s="246">
        <v>3113</v>
      </c>
      <c r="G41" s="209" t="s">
        <v>278</v>
      </c>
      <c r="H41" s="209" t="s">
        <v>263</v>
      </c>
      <c r="I41" s="580">
        <v>1215624</v>
      </c>
      <c r="J41" s="660">
        <v>901798</v>
      </c>
      <c r="K41" s="660">
        <v>0</v>
      </c>
      <c r="L41" s="55">
        <v>304808</v>
      </c>
      <c r="M41" s="55">
        <v>9018</v>
      </c>
      <c r="N41" s="325">
        <v>0</v>
      </c>
      <c r="O41" s="719">
        <v>2.2400000000000002</v>
      </c>
      <c r="P41" s="440">
        <f t="shared" si="18"/>
        <v>0</v>
      </c>
      <c r="Q41" s="573">
        <v>0</v>
      </c>
      <c r="R41" s="325">
        <v>0</v>
      </c>
      <c r="S41" s="325">
        <v>0</v>
      </c>
      <c r="T41" s="325">
        <v>0</v>
      </c>
      <c r="U41" s="325">
        <v>0</v>
      </c>
      <c r="V41" s="492">
        <f>P41+Q41+R41+S41+T41+U41</f>
        <v>0</v>
      </c>
      <c r="W41" s="325">
        <v>0</v>
      </c>
      <c r="X41" s="325">
        <v>0</v>
      </c>
      <c r="Y41" s="325">
        <v>0</v>
      </c>
      <c r="Z41" s="492">
        <f>W41+X41+Y41</f>
        <v>0</v>
      </c>
      <c r="AA41" s="492">
        <f>V41+Z41</f>
        <v>0</v>
      </c>
      <c r="AB41" s="494">
        <f>ROUND((V41+Z41)*33.8%,0)</f>
        <v>0</v>
      </c>
      <c r="AC41" s="494">
        <f>ROUND(V41*1%,0)</f>
        <v>0</v>
      </c>
      <c r="AD41" s="492">
        <v>0</v>
      </c>
      <c r="AE41" s="753">
        <f t="shared" si="19"/>
        <v>0</v>
      </c>
      <c r="AF41" s="688">
        <v>0</v>
      </c>
      <c r="AG41" s="576">
        <v>0</v>
      </c>
      <c r="AH41" s="326">
        <v>0</v>
      </c>
      <c r="AI41" s="326">
        <v>0</v>
      </c>
      <c r="AJ41" s="326">
        <v>0</v>
      </c>
      <c r="AK41" s="326">
        <v>0</v>
      </c>
      <c r="AL41" s="609">
        <f>SUM(AF41:AK41)</f>
        <v>0</v>
      </c>
      <c r="AM41" s="676">
        <f>I41+AE41</f>
        <v>1215624</v>
      </c>
      <c r="AN41" s="492">
        <f>J41+V41</f>
        <v>901798</v>
      </c>
      <c r="AO41" s="573">
        <f>K41+Z41</f>
        <v>0</v>
      </c>
      <c r="AP41" s="492">
        <f t="shared" si="20"/>
        <v>304808</v>
      </c>
      <c r="AQ41" s="492">
        <f t="shared" si="20"/>
        <v>9018</v>
      </c>
      <c r="AR41" s="492">
        <f t="shared" si="20"/>
        <v>0</v>
      </c>
      <c r="AS41" s="609">
        <f>O41+AL41</f>
        <v>2.2400000000000002</v>
      </c>
      <c r="AT41" s="240"/>
    </row>
    <row r="42" spans="1:46" ht="12.95" customHeight="1" x14ac:dyDescent="0.25">
      <c r="A42" s="205">
        <v>7</v>
      </c>
      <c r="B42" s="246">
        <v>5410</v>
      </c>
      <c r="C42" s="247">
        <v>600099318</v>
      </c>
      <c r="D42" s="206">
        <v>854778</v>
      </c>
      <c r="E42" s="273" t="s">
        <v>406</v>
      </c>
      <c r="F42" s="246">
        <v>3143</v>
      </c>
      <c r="G42" s="209" t="s">
        <v>795</v>
      </c>
      <c r="H42" s="209" t="s">
        <v>262</v>
      </c>
      <c r="I42" s="580">
        <v>874173</v>
      </c>
      <c r="J42" s="660">
        <v>648496</v>
      </c>
      <c r="K42" s="660">
        <v>0</v>
      </c>
      <c r="L42" s="55">
        <v>219192</v>
      </c>
      <c r="M42" s="55">
        <v>6485</v>
      </c>
      <c r="N42" s="325">
        <v>0</v>
      </c>
      <c r="O42" s="719">
        <v>1.29</v>
      </c>
      <c r="P42" s="440">
        <f t="shared" si="18"/>
        <v>0</v>
      </c>
      <c r="Q42" s="573">
        <v>0</v>
      </c>
      <c r="R42" s="325">
        <v>0</v>
      </c>
      <c r="S42" s="325">
        <v>0</v>
      </c>
      <c r="T42" s="325">
        <v>0</v>
      </c>
      <c r="U42" s="325">
        <v>0</v>
      </c>
      <c r="V42" s="492">
        <f>P42+Q42+R42+S42+T42+U42</f>
        <v>0</v>
      </c>
      <c r="W42" s="325">
        <v>0</v>
      </c>
      <c r="X42" s="325">
        <v>0</v>
      </c>
      <c r="Y42" s="325">
        <v>0</v>
      </c>
      <c r="Z42" s="492">
        <f>W42+X42+Y42</f>
        <v>0</v>
      </c>
      <c r="AA42" s="492">
        <f>V42+Z42</f>
        <v>0</v>
      </c>
      <c r="AB42" s="494">
        <f>ROUND((V42+Z42)*33.8%,0)</f>
        <v>0</v>
      </c>
      <c r="AC42" s="494">
        <f>ROUND(V42*1%,0)</f>
        <v>0</v>
      </c>
      <c r="AD42" s="492">
        <v>0</v>
      </c>
      <c r="AE42" s="753">
        <f t="shared" si="19"/>
        <v>0</v>
      </c>
      <c r="AF42" s="688">
        <v>0</v>
      </c>
      <c r="AG42" s="576">
        <v>0</v>
      </c>
      <c r="AH42" s="326">
        <v>0</v>
      </c>
      <c r="AI42" s="326">
        <v>0</v>
      </c>
      <c r="AJ42" s="326">
        <v>0</v>
      </c>
      <c r="AK42" s="326">
        <v>0</v>
      </c>
      <c r="AL42" s="609">
        <f>SUM(AF42:AK42)</f>
        <v>0</v>
      </c>
      <c r="AM42" s="676">
        <f>I42+AE42</f>
        <v>874173</v>
      </c>
      <c r="AN42" s="492">
        <f>J42+V42</f>
        <v>648496</v>
      </c>
      <c r="AO42" s="573">
        <f>K42+Z42</f>
        <v>0</v>
      </c>
      <c r="AP42" s="492">
        <f t="shared" si="20"/>
        <v>219192</v>
      </c>
      <c r="AQ42" s="492">
        <f t="shared" si="20"/>
        <v>6485</v>
      </c>
      <c r="AR42" s="492">
        <f t="shared" si="20"/>
        <v>0</v>
      </c>
      <c r="AS42" s="609">
        <f>O42+AL42</f>
        <v>1.29</v>
      </c>
      <c r="AT42" s="240"/>
    </row>
    <row r="43" spans="1:46" ht="12.95" customHeight="1" x14ac:dyDescent="0.25">
      <c r="A43" s="198">
        <v>7</v>
      </c>
      <c r="B43" s="250">
        <v>5410</v>
      </c>
      <c r="C43" s="251">
        <v>600099318</v>
      </c>
      <c r="D43" s="250">
        <v>854778</v>
      </c>
      <c r="E43" s="274" t="s">
        <v>407</v>
      </c>
      <c r="F43" s="250"/>
      <c r="G43" s="275"/>
      <c r="H43" s="563"/>
      <c r="I43" s="646">
        <v>17211754</v>
      </c>
      <c r="J43" s="661">
        <v>12744542</v>
      </c>
      <c r="K43" s="661">
        <v>24000</v>
      </c>
      <c r="L43" s="355">
        <v>4315767</v>
      </c>
      <c r="M43" s="355">
        <v>127445</v>
      </c>
      <c r="N43" s="355">
        <v>0</v>
      </c>
      <c r="O43" s="720">
        <v>20.3964</v>
      </c>
      <c r="P43" s="442">
        <f t="shared" ref="P43:AS43" si="21">SUM(P39:P42)</f>
        <v>-16000</v>
      </c>
      <c r="Q43" s="442">
        <f t="shared" si="21"/>
        <v>0</v>
      </c>
      <c r="R43" s="355">
        <f t="shared" si="21"/>
        <v>0</v>
      </c>
      <c r="S43" s="355">
        <f t="shared" si="21"/>
        <v>0</v>
      </c>
      <c r="T43" s="355">
        <f t="shared" si="21"/>
        <v>0</v>
      </c>
      <c r="U43" s="355">
        <f t="shared" si="21"/>
        <v>0</v>
      </c>
      <c r="V43" s="355">
        <f t="shared" si="21"/>
        <v>-16000</v>
      </c>
      <c r="W43" s="355">
        <f t="shared" si="21"/>
        <v>16000</v>
      </c>
      <c r="X43" s="355">
        <f t="shared" si="21"/>
        <v>0</v>
      </c>
      <c r="Y43" s="355">
        <f t="shared" si="21"/>
        <v>0</v>
      </c>
      <c r="Z43" s="355">
        <f t="shared" si="21"/>
        <v>16000</v>
      </c>
      <c r="AA43" s="355">
        <f t="shared" si="21"/>
        <v>0</v>
      </c>
      <c r="AB43" s="355">
        <f t="shared" si="21"/>
        <v>0</v>
      </c>
      <c r="AC43" s="355">
        <f t="shared" si="21"/>
        <v>-160</v>
      </c>
      <c r="AD43" s="355">
        <f t="shared" si="21"/>
        <v>0</v>
      </c>
      <c r="AE43" s="665">
        <f t="shared" si="21"/>
        <v>-160</v>
      </c>
      <c r="AF43" s="802">
        <f t="shared" si="21"/>
        <v>0</v>
      </c>
      <c r="AG43" s="356">
        <f t="shared" si="21"/>
        <v>0</v>
      </c>
      <c r="AH43" s="356">
        <f t="shared" si="21"/>
        <v>0</v>
      </c>
      <c r="AI43" s="356">
        <f t="shared" si="21"/>
        <v>0</v>
      </c>
      <c r="AJ43" s="356">
        <f t="shared" si="21"/>
        <v>0</v>
      </c>
      <c r="AK43" s="356">
        <f t="shared" si="21"/>
        <v>0</v>
      </c>
      <c r="AL43" s="253">
        <f t="shared" si="21"/>
        <v>0</v>
      </c>
      <c r="AM43" s="668">
        <f t="shared" si="21"/>
        <v>17211594</v>
      </c>
      <c r="AN43" s="442">
        <f t="shared" si="21"/>
        <v>12728542</v>
      </c>
      <c r="AO43" s="355">
        <f t="shared" si="21"/>
        <v>40000</v>
      </c>
      <c r="AP43" s="355">
        <f t="shared" si="21"/>
        <v>4315767</v>
      </c>
      <c r="AQ43" s="355">
        <f t="shared" si="21"/>
        <v>127285</v>
      </c>
      <c r="AR43" s="355">
        <f t="shared" si="21"/>
        <v>0</v>
      </c>
      <c r="AS43" s="253">
        <f t="shared" si="21"/>
        <v>20.3964</v>
      </c>
      <c r="AT43" s="240"/>
    </row>
    <row r="44" spans="1:46" ht="12.95" customHeight="1" x14ac:dyDescent="0.25">
      <c r="A44" s="205">
        <v>8</v>
      </c>
      <c r="B44" s="246">
        <v>5476</v>
      </c>
      <c r="C44" s="247">
        <v>650046072</v>
      </c>
      <c r="D44" s="206">
        <v>71002723</v>
      </c>
      <c r="E44" s="273" t="s">
        <v>408</v>
      </c>
      <c r="F44" s="246">
        <v>3111</v>
      </c>
      <c r="G44" s="270" t="s">
        <v>290</v>
      </c>
      <c r="H44" s="209" t="s">
        <v>262</v>
      </c>
      <c r="I44" s="580">
        <v>2345323</v>
      </c>
      <c r="J44" s="660">
        <v>1736876</v>
      </c>
      <c r="K44" s="660">
        <v>3000</v>
      </c>
      <c r="L44" s="55">
        <v>588078</v>
      </c>
      <c r="M44" s="55">
        <v>17369</v>
      </c>
      <c r="N44" s="325">
        <v>0</v>
      </c>
      <c r="O44" s="719">
        <v>3</v>
      </c>
      <c r="P44" s="445">
        <f t="shared" ref="P44:P48" si="22">W44*-1</f>
        <v>-2000</v>
      </c>
      <c r="Q44" s="573">
        <v>0</v>
      </c>
      <c r="R44" s="325">
        <v>0</v>
      </c>
      <c r="S44" s="325">
        <v>0</v>
      </c>
      <c r="T44" s="325">
        <v>0</v>
      </c>
      <c r="U44" s="325">
        <v>0</v>
      </c>
      <c r="V44" s="492">
        <f>P44+Q44+R44+S44+T44+U44</f>
        <v>-2000</v>
      </c>
      <c r="W44" s="325">
        <v>2000</v>
      </c>
      <c r="X44" s="325">
        <v>0</v>
      </c>
      <c r="Y44" s="325">
        <v>0</v>
      </c>
      <c r="Z44" s="492">
        <f>W44+X44+Y44</f>
        <v>2000</v>
      </c>
      <c r="AA44" s="492">
        <f>V44+Z44</f>
        <v>0</v>
      </c>
      <c r="AB44" s="494">
        <f>ROUND((V44+Z44)*33.8%,0)</f>
        <v>0</v>
      </c>
      <c r="AC44" s="494">
        <f>ROUND(V44*1%,0)</f>
        <v>-20</v>
      </c>
      <c r="AD44" s="492">
        <v>0</v>
      </c>
      <c r="AE44" s="753">
        <f t="shared" ref="AE44:AE48" si="23">AA44+AB44+AC44+AD44</f>
        <v>-20</v>
      </c>
      <c r="AF44" s="688">
        <v>-0.01</v>
      </c>
      <c r="AG44" s="576">
        <v>0</v>
      </c>
      <c r="AH44" s="326">
        <v>0</v>
      </c>
      <c r="AI44" s="326">
        <v>0</v>
      </c>
      <c r="AJ44" s="326">
        <v>0</v>
      </c>
      <c r="AK44" s="326">
        <v>0</v>
      </c>
      <c r="AL44" s="609">
        <f>SUM(AF44:AK44)</f>
        <v>-0.01</v>
      </c>
      <c r="AM44" s="676">
        <f>I44+AE44</f>
        <v>2345303</v>
      </c>
      <c r="AN44" s="492">
        <f>J44+V44</f>
        <v>1734876</v>
      </c>
      <c r="AO44" s="573">
        <f>K44+Z44</f>
        <v>5000</v>
      </c>
      <c r="AP44" s="492">
        <f t="shared" ref="AP44:AR48" si="24">L44+AB44</f>
        <v>588078</v>
      </c>
      <c r="AQ44" s="492">
        <f t="shared" si="24"/>
        <v>17349</v>
      </c>
      <c r="AR44" s="492">
        <f t="shared" si="24"/>
        <v>0</v>
      </c>
      <c r="AS44" s="609">
        <f>O44+AL44</f>
        <v>2.99</v>
      </c>
      <c r="AT44" s="240"/>
    </row>
    <row r="45" spans="1:46" ht="12.95" customHeight="1" x14ac:dyDescent="0.25">
      <c r="A45" s="205">
        <v>8</v>
      </c>
      <c r="B45" s="246">
        <v>5476</v>
      </c>
      <c r="C45" s="247">
        <v>650046072</v>
      </c>
      <c r="D45" s="206">
        <v>71002723</v>
      </c>
      <c r="E45" s="273" t="s">
        <v>408</v>
      </c>
      <c r="F45" s="246">
        <v>3113</v>
      </c>
      <c r="G45" s="270" t="s">
        <v>294</v>
      </c>
      <c r="H45" s="209" t="s">
        <v>262</v>
      </c>
      <c r="I45" s="580">
        <v>10521306</v>
      </c>
      <c r="J45" s="660">
        <v>7754501</v>
      </c>
      <c r="K45" s="660">
        <v>51000</v>
      </c>
      <c r="L45" s="55">
        <v>2638260</v>
      </c>
      <c r="M45" s="55">
        <v>77545</v>
      </c>
      <c r="N45" s="325">
        <v>0</v>
      </c>
      <c r="O45" s="719">
        <v>11.371700000000001</v>
      </c>
      <c r="P45" s="440">
        <f t="shared" si="22"/>
        <v>-34000</v>
      </c>
      <c r="Q45" s="573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>P45+Q45+R45+S45+T45+U45</f>
        <v>-34000</v>
      </c>
      <c r="W45" s="325">
        <v>34000</v>
      </c>
      <c r="X45" s="325">
        <v>0</v>
      </c>
      <c r="Y45" s="325">
        <v>0</v>
      </c>
      <c r="Z45" s="492">
        <f>W45+X45+Y45</f>
        <v>34000</v>
      </c>
      <c r="AA45" s="492">
        <f>V45+Z45</f>
        <v>0</v>
      </c>
      <c r="AB45" s="494">
        <f>ROUND((V45+Z45)*33.8%,0)</f>
        <v>0</v>
      </c>
      <c r="AC45" s="494">
        <f>ROUND(V45*1%,0)</f>
        <v>-340</v>
      </c>
      <c r="AD45" s="492">
        <v>0</v>
      </c>
      <c r="AE45" s="753">
        <f t="shared" si="23"/>
        <v>-340</v>
      </c>
      <c r="AF45" s="688">
        <v>-4.9999999999999989E-2</v>
      </c>
      <c r="AG45" s="576">
        <v>0</v>
      </c>
      <c r="AH45" s="326">
        <v>0</v>
      </c>
      <c r="AI45" s="326">
        <v>0</v>
      </c>
      <c r="AJ45" s="326">
        <v>0</v>
      </c>
      <c r="AK45" s="326">
        <v>0</v>
      </c>
      <c r="AL45" s="609">
        <f>SUM(AF45:AK45)</f>
        <v>-4.9999999999999989E-2</v>
      </c>
      <c r="AM45" s="676">
        <f>I45+AE45</f>
        <v>10520966</v>
      </c>
      <c r="AN45" s="492">
        <f>J45+V45</f>
        <v>7720501</v>
      </c>
      <c r="AO45" s="573">
        <f>K45+Z45</f>
        <v>85000</v>
      </c>
      <c r="AP45" s="492">
        <f t="shared" si="24"/>
        <v>2638260</v>
      </c>
      <c r="AQ45" s="492">
        <f t="shared" si="24"/>
        <v>77205</v>
      </c>
      <c r="AR45" s="492">
        <f t="shared" si="24"/>
        <v>0</v>
      </c>
      <c r="AS45" s="609">
        <f>O45+AL45</f>
        <v>11.3217</v>
      </c>
      <c r="AT45" s="240"/>
    </row>
    <row r="46" spans="1:46" ht="12.95" customHeight="1" x14ac:dyDescent="0.25">
      <c r="A46" s="205">
        <v>8</v>
      </c>
      <c r="B46" s="246">
        <v>5476</v>
      </c>
      <c r="C46" s="247">
        <v>650046072</v>
      </c>
      <c r="D46" s="206">
        <v>71002723</v>
      </c>
      <c r="E46" s="273" t="s">
        <v>408</v>
      </c>
      <c r="F46" s="246">
        <v>3113</v>
      </c>
      <c r="G46" s="209" t="s">
        <v>278</v>
      </c>
      <c r="H46" s="209" t="s">
        <v>263</v>
      </c>
      <c r="I46" s="580">
        <v>1300804</v>
      </c>
      <c r="J46" s="660">
        <v>964988</v>
      </c>
      <c r="K46" s="660">
        <v>0</v>
      </c>
      <c r="L46" s="55">
        <v>326166</v>
      </c>
      <c r="M46" s="55">
        <v>9650</v>
      </c>
      <c r="N46" s="325">
        <v>0</v>
      </c>
      <c r="O46" s="719">
        <v>2.38</v>
      </c>
      <c r="P46" s="440">
        <f t="shared" si="22"/>
        <v>0</v>
      </c>
      <c r="Q46" s="573">
        <v>-157093</v>
      </c>
      <c r="R46" s="325">
        <v>0</v>
      </c>
      <c r="S46" s="325">
        <v>0</v>
      </c>
      <c r="T46" s="325">
        <v>0</v>
      </c>
      <c r="U46" s="325">
        <v>0</v>
      </c>
      <c r="V46" s="492">
        <f>P46+Q46+R46+S46+T46+U46</f>
        <v>-157093</v>
      </c>
      <c r="W46" s="325">
        <v>0</v>
      </c>
      <c r="X46" s="325">
        <v>0</v>
      </c>
      <c r="Y46" s="325">
        <v>0</v>
      </c>
      <c r="Z46" s="492">
        <f>W46+X46+Y46</f>
        <v>0</v>
      </c>
      <c r="AA46" s="492">
        <f>V46+Z46</f>
        <v>-157093</v>
      </c>
      <c r="AB46" s="494">
        <f>ROUND((V46+Z46)*33.8%,0)</f>
        <v>-53097</v>
      </c>
      <c r="AC46" s="494">
        <f>ROUND(V46*1%,0)</f>
        <v>-1571</v>
      </c>
      <c r="AD46" s="492">
        <v>0</v>
      </c>
      <c r="AE46" s="753">
        <f t="shared" si="23"/>
        <v>-211761</v>
      </c>
      <c r="AF46" s="688">
        <v>0</v>
      </c>
      <c r="AG46" s="576">
        <v>-0.39</v>
      </c>
      <c r="AH46" s="326">
        <v>0</v>
      </c>
      <c r="AI46" s="326">
        <v>0</v>
      </c>
      <c r="AJ46" s="326">
        <v>0</v>
      </c>
      <c r="AK46" s="326">
        <v>0</v>
      </c>
      <c r="AL46" s="609">
        <f>SUM(AF46:AK46)</f>
        <v>-0.39</v>
      </c>
      <c r="AM46" s="676">
        <f>I46+AE46</f>
        <v>1089043</v>
      </c>
      <c r="AN46" s="492">
        <f>J46+V46</f>
        <v>807895</v>
      </c>
      <c r="AO46" s="573">
        <f>K46+Z46</f>
        <v>0</v>
      </c>
      <c r="AP46" s="492">
        <f t="shared" si="24"/>
        <v>273069</v>
      </c>
      <c r="AQ46" s="492">
        <f t="shared" si="24"/>
        <v>8079</v>
      </c>
      <c r="AR46" s="492">
        <f t="shared" si="24"/>
        <v>0</v>
      </c>
      <c r="AS46" s="609">
        <f>O46+AL46</f>
        <v>1.9899999999999998</v>
      </c>
      <c r="AT46" s="240"/>
    </row>
    <row r="47" spans="1:46" ht="12.95" customHeight="1" x14ac:dyDescent="0.25">
      <c r="A47" s="205">
        <v>8</v>
      </c>
      <c r="B47" s="246">
        <v>5476</v>
      </c>
      <c r="C47" s="247">
        <v>650046072</v>
      </c>
      <c r="D47" s="206">
        <v>71002723</v>
      </c>
      <c r="E47" s="273" t="s">
        <v>408</v>
      </c>
      <c r="F47" s="246">
        <v>3143</v>
      </c>
      <c r="G47" s="209" t="s">
        <v>794</v>
      </c>
      <c r="H47" s="209" t="s">
        <v>262</v>
      </c>
      <c r="I47" s="580">
        <v>880111</v>
      </c>
      <c r="J47" s="660">
        <v>649924</v>
      </c>
      <c r="K47" s="660">
        <v>3000</v>
      </c>
      <c r="L47" s="55">
        <v>220688</v>
      </c>
      <c r="M47" s="55">
        <v>6499</v>
      </c>
      <c r="N47" s="325">
        <v>0</v>
      </c>
      <c r="O47" s="719">
        <v>1.29</v>
      </c>
      <c r="P47" s="440">
        <f t="shared" si="22"/>
        <v>-2000</v>
      </c>
      <c r="Q47" s="573">
        <v>0</v>
      </c>
      <c r="R47" s="325">
        <v>0</v>
      </c>
      <c r="S47" s="325">
        <v>0</v>
      </c>
      <c r="T47" s="325">
        <v>0</v>
      </c>
      <c r="U47" s="325">
        <v>0</v>
      </c>
      <c r="V47" s="492">
        <f>P47+Q47+R47+S47+T47+U47</f>
        <v>-2000</v>
      </c>
      <c r="W47" s="325">
        <v>2000</v>
      </c>
      <c r="X47" s="325">
        <v>0</v>
      </c>
      <c r="Y47" s="325">
        <v>0</v>
      </c>
      <c r="Z47" s="492">
        <f>W47+X47+Y47</f>
        <v>2000</v>
      </c>
      <c r="AA47" s="492">
        <f>V47+Z47</f>
        <v>0</v>
      </c>
      <c r="AB47" s="494">
        <f>ROUND((V47+Z47)*33.8%,0)</f>
        <v>0</v>
      </c>
      <c r="AC47" s="494">
        <f>ROUND(V47*1%,0)</f>
        <v>-20</v>
      </c>
      <c r="AD47" s="492">
        <v>0</v>
      </c>
      <c r="AE47" s="753">
        <f t="shared" si="23"/>
        <v>-20</v>
      </c>
      <c r="AF47" s="688">
        <v>0</v>
      </c>
      <c r="AG47" s="576">
        <v>0</v>
      </c>
      <c r="AH47" s="326">
        <v>0</v>
      </c>
      <c r="AI47" s="326">
        <v>0</v>
      </c>
      <c r="AJ47" s="326">
        <v>0</v>
      </c>
      <c r="AK47" s="326">
        <v>0</v>
      </c>
      <c r="AL47" s="609">
        <f>SUM(AF47:AK47)</f>
        <v>0</v>
      </c>
      <c r="AM47" s="676">
        <f>I47+AE47</f>
        <v>880091</v>
      </c>
      <c r="AN47" s="492">
        <f>J47+V47</f>
        <v>647924</v>
      </c>
      <c r="AO47" s="573">
        <f>K47+Z47</f>
        <v>5000</v>
      </c>
      <c r="AP47" s="492">
        <f t="shared" si="24"/>
        <v>220688</v>
      </c>
      <c r="AQ47" s="492">
        <f t="shared" si="24"/>
        <v>6479</v>
      </c>
      <c r="AR47" s="492">
        <f t="shared" si="24"/>
        <v>0</v>
      </c>
      <c r="AS47" s="609">
        <f>O47+AL47</f>
        <v>1.29</v>
      </c>
      <c r="AT47" s="240"/>
    </row>
    <row r="48" spans="1:46" ht="12.95" customHeight="1" x14ac:dyDescent="0.25">
      <c r="A48" s="205">
        <v>8</v>
      </c>
      <c r="B48" s="246">
        <v>5476</v>
      </c>
      <c r="C48" s="247">
        <v>650046072</v>
      </c>
      <c r="D48" s="206">
        <v>71002723</v>
      </c>
      <c r="E48" s="273" t="s">
        <v>408</v>
      </c>
      <c r="F48" s="246">
        <v>3231</v>
      </c>
      <c r="G48" s="270" t="s">
        <v>281</v>
      </c>
      <c r="H48" s="209" t="s">
        <v>262</v>
      </c>
      <c r="I48" s="580">
        <v>7640038</v>
      </c>
      <c r="J48" s="660">
        <v>5664706</v>
      </c>
      <c r="K48" s="660">
        <v>3000</v>
      </c>
      <c r="L48" s="55">
        <v>1915685</v>
      </c>
      <c r="M48" s="55">
        <v>56647</v>
      </c>
      <c r="N48" s="325">
        <v>0</v>
      </c>
      <c r="O48" s="719">
        <v>8.5135000000000005</v>
      </c>
      <c r="P48" s="440">
        <f t="shared" si="22"/>
        <v>-2000</v>
      </c>
      <c r="Q48" s="573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>P48+Q48+R48+S48+T48+U48</f>
        <v>-2000</v>
      </c>
      <c r="W48" s="325">
        <v>2000</v>
      </c>
      <c r="X48" s="325">
        <v>0</v>
      </c>
      <c r="Y48" s="325">
        <v>0</v>
      </c>
      <c r="Z48" s="492">
        <f>W48+X48+Y48</f>
        <v>2000</v>
      </c>
      <c r="AA48" s="492">
        <f>V48+Z48</f>
        <v>0</v>
      </c>
      <c r="AB48" s="494">
        <f>ROUND((V48+Z48)*33.8%,0)</f>
        <v>0</v>
      </c>
      <c r="AC48" s="494">
        <f>ROUND(V48*1%,0)</f>
        <v>-20</v>
      </c>
      <c r="AD48" s="492">
        <v>0</v>
      </c>
      <c r="AE48" s="753">
        <f t="shared" si="23"/>
        <v>-20</v>
      </c>
      <c r="AF48" s="688">
        <v>-0.01</v>
      </c>
      <c r="AG48" s="576">
        <v>0</v>
      </c>
      <c r="AH48" s="326">
        <v>0</v>
      </c>
      <c r="AI48" s="326">
        <v>0</v>
      </c>
      <c r="AJ48" s="326">
        <v>0</v>
      </c>
      <c r="AK48" s="326">
        <v>0</v>
      </c>
      <c r="AL48" s="609">
        <f>SUM(AF48:AK48)</f>
        <v>-0.01</v>
      </c>
      <c r="AM48" s="676">
        <f>I48+AE48</f>
        <v>7640018</v>
      </c>
      <c r="AN48" s="492">
        <f>J48+V48</f>
        <v>5662706</v>
      </c>
      <c r="AO48" s="573">
        <f>K48+Z48</f>
        <v>5000</v>
      </c>
      <c r="AP48" s="492">
        <f t="shared" si="24"/>
        <v>1915685</v>
      </c>
      <c r="AQ48" s="492">
        <f t="shared" si="24"/>
        <v>56627</v>
      </c>
      <c r="AR48" s="492">
        <f t="shared" si="24"/>
        <v>0</v>
      </c>
      <c r="AS48" s="609">
        <f>O48+AL48</f>
        <v>8.5035000000000007</v>
      </c>
      <c r="AT48" s="240"/>
    </row>
    <row r="49" spans="1:46" ht="12.95" customHeight="1" x14ac:dyDescent="0.25">
      <c r="A49" s="198">
        <v>8</v>
      </c>
      <c r="B49" s="250">
        <v>5476</v>
      </c>
      <c r="C49" s="251">
        <v>650046072</v>
      </c>
      <c r="D49" s="250">
        <v>71002723</v>
      </c>
      <c r="E49" s="274" t="s">
        <v>409</v>
      </c>
      <c r="F49" s="250"/>
      <c r="G49" s="275"/>
      <c r="H49" s="563"/>
      <c r="I49" s="646">
        <v>22687582</v>
      </c>
      <c r="J49" s="661">
        <v>16770995</v>
      </c>
      <c r="K49" s="661">
        <v>60000</v>
      </c>
      <c r="L49" s="355">
        <v>5688877</v>
      </c>
      <c r="M49" s="355">
        <v>167710</v>
      </c>
      <c r="N49" s="355">
        <v>0</v>
      </c>
      <c r="O49" s="720">
        <v>26.555199999999999</v>
      </c>
      <c r="P49" s="442">
        <f t="shared" ref="P49:AS49" si="25">SUM(P44:P48)</f>
        <v>-40000</v>
      </c>
      <c r="Q49" s="442">
        <f t="shared" si="25"/>
        <v>-157093</v>
      </c>
      <c r="R49" s="355">
        <f t="shared" si="25"/>
        <v>0</v>
      </c>
      <c r="S49" s="355">
        <f t="shared" si="25"/>
        <v>0</v>
      </c>
      <c r="T49" s="355">
        <f t="shared" si="25"/>
        <v>0</v>
      </c>
      <c r="U49" s="355">
        <f t="shared" si="25"/>
        <v>0</v>
      </c>
      <c r="V49" s="355">
        <f t="shared" si="25"/>
        <v>-197093</v>
      </c>
      <c r="W49" s="355">
        <f t="shared" si="25"/>
        <v>40000</v>
      </c>
      <c r="X49" s="355">
        <f t="shared" si="25"/>
        <v>0</v>
      </c>
      <c r="Y49" s="355">
        <f t="shared" si="25"/>
        <v>0</v>
      </c>
      <c r="Z49" s="355">
        <f t="shared" si="25"/>
        <v>40000</v>
      </c>
      <c r="AA49" s="355">
        <f t="shared" si="25"/>
        <v>-157093</v>
      </c>
      <c r="AB49" s="355">
        <f t="shared" si="25"/>
        <v>-53097</v>
      </c>
      <c r="AC49" s="355">
        <f t="shared" si="25"/>
        <v>-1971</v>
      </c>
      <c r="AD49" s="355">
        <f t="shared" si="25"/>
        <v>0</v>
      </c>
      <c r="AE49" s="665">
        <f t="shared" si="25"/>
        <v>-212161</v>
      </c>
      <c r="AF49" s="802">
        <f t="shared" si="25"/>
        <v>-6.9999999999999993E-2</v>
      </c>
      <c r="AG49" s="356">
        <f t="shared" si="25"/>
        <v>-0.39</v>
      </c>
      <c r="AH49" s="356">
        <f t="shared" si="25"/>
        <v>0</v>
      </c>
      <c r="AI49" s="356">
        <f t="shared" si="25"/>
        <v>0</v>
      </c>
      <c r="AJ49" s="356">
        <f t="shared" si="25"/>
        <v>0</v>
      </c>
      <c r="AK49" s="356">
        <f t="shared" si="25"/>
        <v>0</v>
      </c>
      <c r="AL49" s="253">
        <f t="shared" si="25"/>
        <v>-0.46</v>
      </c>
      <c r="AM49" s="668">
        <f t="shared" si="25"/>
        <v>22475421</v>
      </c>
      <c r="AN49" s="442">
        <f t="shared" si="25"/>
        <v>16573902</v>
      </c>
      <c r="AO49" s="355">
        <f t="shared" si="25"/>
        <v>100000</v>
      </c>
      <c r="AP49" s="355">
        <f t="shared" si="25"/>
        <v>5635780</v>
      </c>
      <c r="AQ49" s="355">
        <f t="shared" si="25"/>
        <v>165739</v>
      </c>
      <c r="AR49" s="355">
        <f t="shared" si="25"/>
        <v>0</v>
      </c>
      <c r="AS49" s="253">
        <f t="shared" si="25"/>
        <v>26.095199999999998</v>
      </c>
      <c r="AT49" s="240"/>
    </row>
    <row r="50" spans="1:46" ht="12.95" customHeight="1" x14ac:dyDescent="0.25">
      <c r="A50" s="205">
        <v>9</v>
      </c>
      <c r="B50" s="246">
        <v>5414</v>
      </c>
      <c r="C50" s="247">
        <v>600099008</v>
      </c>
      <c r="D50" s="206">
        <v>70695555</v>
      </c>
      <c r="E50" s="273" t="s">
        <v>410</v>
      </c>
      <c r="F50" s="246">
        <v>3111</v>
      </c>
      <c r="G50" s="270" t="s">
        <v>290</v>
      </c>
      <c r="H50" s="209" t="s">
        <v>262</v>
      </c>
      <c r="I50" s="580">
        <v>1691511</v>
      </c>
      <c r="J50" s="660">
        <v>1254830</v>
      </c>
      <c r="K50" s="660">
        <v>0</v>
      </c>
      <c r="L50" s="55">
        <v>424133</v>
      </c>
      <c r="M50" s="55">
        <v>12548</v>
      </c>
      <c r="N50" s="325">
        <v>0</v>
      </c>
      <c r="O50" s="719">
        <v>2</v>
      </c>
      <c r="P50" s="445">
        <f>W50*-1</f>
        <v>0</v>
      </c>
      <c r="Q50" s="573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>P50+Q50+R50+S50+T50+U50</f>
        <v>0</v>
      </c>
      <c r="W50" s="325">
        <v>0</v>
      </c>
      <c r="X50" s="325">
        <v>0</v>
      </c>
      <c r="Y50" s="325">
        <v>0</v>
      </c>
      <c r="Z50" s="492">
        <f>W50+X50+Y50</f>
        <v>0</v>
      </c>
      <c r="AA50" s="492">
        <f>V50+Z50</f>
        <v>0</v>
      </c>
      <c r="AB50" s="494">
        <f>ROUND((V50+Z50)*33.8%,0)</f>
        <v>0</v>
      </c>
      <c r="AC50" s="494">
        <f>ROUND(V50*1%,0)</f>
        <v>0</v>
      </c>
      <c r="AD50" s="492">
        <v>0</v>
      </c>
      <c r="AE50" s="753">
        <f>AA50+AB50+AC50+AD50</f>
        <v>0</v>
      </c>
      <c r="AF50" s="688">
        <v>0</v>
      </c>
      <c r="AG50" s="576">
        <v>0</v>
      </c>
      <c r="AH50" s="326">
        <v>0</v>
      </c>
      <c r="AI50" s="326">
        <v>0</v>
      </c>
      <c r="AJ50" s="326">
        <v>0</v>
      </c>
      <c r="AK50" s="326">
        <v>0</v>
      </c>
      <c r="AL50" s="609">
        <f>SUM(AF50:AK50)</f>
        <v>0</v>
      </c>
      <c r="AM50" s="676">
        <f>I50+AE50</f>
        <v>1691511</v>
      </c>
      <c r="AN50" s="492">
        <f>J50+V50</f>
        <v>1254830</v>
      </c>
      <c r="AO50" s="573">
        <f>K50+Z50</f>
        <v>0</v>
      </c>
      <c r="AP50" s="492">
        <f>L50+AB50</f>
        <v>424133</v>
      </c>
      <c r="AQ50" s="492">
        <f>M50+AC50</f>
        <v>12548</v>
      </c>
      <c r="AR50" s="492">
        <f>N50+AD50</f>
        <v>0</v>
      </c>
      <c r="AS50" s="609">
        <f>O50+AL50</f>
        <v>2</v>
      </c>
      <c r="AT50" s="240"/>
    </row>
    <row r="51" spans="1:46" ht="12.95" customHeight="1" x14ac:dyDescent="0.25">
      <c r="A51" s="249">
        <v>9</v>
      </c>
      <c r="B51" s="250">
        <v>5414</v>
      </c>
      <c r="C51" s="251">
        <v>600099008</v>
      </c>
      <c r="D51" s="250">
        <v>70695555</v>
      </c>
      <c r="E51" s="274" t="s">
        <v>411</v>
      </c>
      <c r="F51" s="250"/>
      <c r="G51" s="275"/>
      <c r="H51" s="563"/>
      <c r="I51" s="646">
        <v>1691511</v>
      </c>
      <c r="J51" s="661">
        <v>1254830</v>
      </c>
      <c r="K51" s="661">
        <v>0</v>
      </c>
      <c r="L51" s="355">
        <v>424133</v>
      </c>
      <c r="M51" s="355">
        <v>12548</v>
      </c>
      <c r="N51" s="355">
        <v>0</v>
      </c>
      <c r="O51" s="720">
        <v>2</v>
      </c>
      <c r="P51" s="442">
        <f t="shared" ref="P51:AS51" si="26">SUM(P50:P50)</f>
        <v>0</v>
      </c>
      <c r="Q51" s="442">
        <f t="shared" si="26"/>
        <v>0</v>
      </c>
      <c r="R51" s="355">
        <f t="shared" si="26"/>
        <v>0</v>
      </c>
      <c r="S51" s="355">
        <f t="shared" si="26"/>
        <v>0</v>
      </c>
      <c r="T51" s="355">
        <f t="shared" si="26"/>
        <v>0</v>
      </c>
      <c r="U51" s="355">
        <f t="shared" si="26"/>
        <v>0</v>
      </c>
      <c r="V51" s="355">
        <f t="shared" si="26"/>
        <v>0</v>
      </c>
      <c r="W51" s="355">
        <f t="shared" si="26"/>
        <v>0</v>
      </c>
      <c r="X51" s="355">
        <f t="shared" si="26"/>
        <v>0</v>
      </c>
      <c r="Y51" s="355">
        <f t="shared" si="26"/>
        <v>0</v>
      </c>
      <c r="Z51" s="355">
        <f t="shared" si="26"/>
        <v>0</v>
      </c>
      <c r="AA51" s="355">
        <f t="shared" si="26"/>
        <v>0</v>
      </c>
      <c r="AB51" s="355">
        <f t="shared" si="26"/>
        <v>0</v>
      </c>
      <c r="AC51" s="355">
        <f t="shared" si="26"/>
        <v>0</v>
      </c>
      <c r="AD51" s="355">
        <f t="shared" si="26"/>
        <v>0</v>
      </c>
      <c r="AE51" s="665">
        <f t="shared" si="26"/>
        <v>0</v>
      </c>
      <c r="AF51" s="802">
        <f t="shared" si="26"/>
        <v>0</v>
      </c>
      <c r="AG51" s="356">
        <f t="shared" si="26"/>
        <v>0</v>
      </c>
      <c r="AH51" s="356">
        <f t="shared" si="26"/>
        <v>0</v>
      </c>
      <c r="AI51" s="356">
        <f t="shared" si="26"/>
        <v>0</v>
      </c>
      <c r="AJ51" s="356">
        <f t="shared" si="26"/>
        <v>0</v>
      </c>
      <c r="AK51" s="356">
        <f t="shared" si="26"/>
        <v>0</v>
      </c>
      <c r="AL51" s="253">
        <f t="shared" si="26"/>
        <v>0</v>
      </c>
      <c r="AM51" s="668">
        <f t="shared" si="26"/>
        <v>1691511</v>
      </c>
      <c r="AN51" s="442">
        <f t="shared" si="26"/>
        <v>1254830</v>
      </c>
      <c r="AO51" s="355">
        <f t="shared" si="26"/>
        <v>0</v>
      </c>
      <c r="AP51" s="355">
        <f t="shared" si="26"/>
        <v>424133</v>
      </c>
      <c r="AQ51" s="355">
        <f t="shared" si="26"/>
        <v>12548</v>
      </c>
      <c r="AR51" s="355">
        <f t="shared" si="26"/>
        <v>0</v>
      </c>
      <c r="AS51" s="253">
        <f t="shared" si="26"/>
        <v>2</v>
      </c>
      <c r="AT51" s="240"/>
    </row>
    <row r="52" spans="1:46" ht="12.95" customHeight="1" x14ac:dyDescent="0.25">
      <c r="A52" s="205">
        <v>10</v>
      </c>
      <c r="B52" s="246">
        <v>5483</v>
      </c>
      <c r="C52" s="247">
        <v>600098460</v>
      </c>
      <c r="D52" s="206">
        <v>72745207</v>
      </c>
      <c r="E52" s="273" t="s">
        <v>412</v>
      </c>
      <c r="F52" s="246">
        <v>3111</v>
      </c>
      <c r="G52" s="270" t="s">
        <v>290</v>
      </c>
      <c r="H52" s="209" t="s">
        <v>262</v>
      </c>
      <c r="I52" s="580">
        <v>1690571</v>
      </c>
      <c r="J52" s="660">
        <v>1233586</v>
      </c>
      <c r="K52" s="660">
        <v>20700</v>
      </c>
      <c r="L52" s="55">
        <v>423949</v>
      </c>
      <c r="M52" s="55">
        <v>12336</v>
      </c>
      <c r="N52" s="325">
        <v>0</v>
      </c>
      <c r="O52" s="719">
        <v>2.1418000000000004</v>
      </c>
      <c r="P52" s="445">
        <f>W52*-1</f>
        <v>-13800</v>
      </c>
      <c r="Q52" s="573">
        <v>0</v>
      </c>
      <c r="R52" s="325">
        <v>0</v>
      </c>
      <c r="S52" s="325">
        <v>0</v>
      </c>
      <c r="T52" s="325">
        <v>0</v>
      </c>
      <c r="U52" s="325">
        <v>0</v>
      </c>
      <c r="V52" s="492">
        <f>P52+Q52+R52+S52+T52+U52</f>
        <v>-13800</v>
      </c>
      <c r="W52" s="325">
        <v>13800</v>
      </c>
      <c r="X52" s="325">
        <v>0</v>
      </c>
      <c r="Y52" s="325">
        <v>0</v>
      </c>
      <c r="Z52" s="492">
        <f>W52+X52+Y52</f>
        <v>13800</v>
      </c>
      <c r="AA52" s="492">
        <f>V52+Z52</f>
        <v>0</v>
      </c>
      <c r="AB52" s="494">
        <f>ROUND((V52+Z52)*33.8%,0)</f>
        <v>0</v>
      </c>
      <c r="AC52" s="494">
        <f>ROUND(V52*1%,0)</f>
        <v>-138</v>
      </c>
      <c r="AD52" s="492">
        <v>0</v>
      </c>
      <c r="AE52" s="753">
        <f t="shared" ref="AE52:AE53" si="27">AA52+AB52+AC52+AD52</f>
        <v>-138</v>
      </c>
      <c r="AF52" s="688">
        <v>-0.03</v>
      </c>
      <c r="AG52" s="576">
        <v>0</v>
      </c>
      <c r="AH52" s="326">
        <v>0</v>
      </c>
      <c r="AI52" s="326">
        <v>0</v>
      </c>
      <c r="AJ52" s="326">
        <v>0</v>
      </c>
      <c r="AK52" s="326">
        <v>0</v>
      </c>
      <c r="AL52" s="609">
        <f>SUM(AF52:AK52)</f>
        <v>-0.03</v>
      </c>
      <c r="AM52" s="676">
        <f>I52+AE52</f>
        <v>1690433</v>
      </c>
      <c r="AN52" s="492">
        <f>J52+V52</f>
        <v>1219786</v>
      </c>
      <c r="AO52" s="573">
        <f>K52+Z52</f>
        <v>34500</v>
      </c>
      <c r="AP52" s="492">
        <f t="shared" ref="AP52:AR53" si="28">L52+AB52</f>
        <v>423949</v>
      </c>
      <c r="AQ52" s="492">
        <f t="shared" si="28"/>
        <v>12198</v>
      </c>
      <c r="AR52" s="492">
        <f t="shared" si="28"/>
        <v>0</v>
      </c>
      <c r="AS52" s="609">
        <f>O52+AL52</f>
        <v>2.1118000000000006</v>
      </c>
      <c r="AT52" s="240"/>
    </row>
    <row r="53" spans="1:46" ht="12.95" customHeight="1" x14ac:dyDescent="0.25">
      <c r="A53" s="205">
        <v>10</v>
      </c>
      <c r="B53" s="246">
        <v>5483</v>
      </c>
      <c r="C53" s="247">
        <v>600098460</v>
      </c>
      <c r="D53" s="206">
        <v>72745207</v>
      </c>
      <c r="E53" s="273" t="s">
        <v>412</v>
      </c>
      <c r="F53" s="246">
        <v>3111</v>
      </c>
      <c r="G53" s="209" t="s">
        <v>278</v>
      </c>
      <c r="H53" s="209" t="s">
        <v>263</v>
      </c>
      <c r="I53" s="580">
        <v>0</v>
      </c>
      <c r="J53" s="660">
        <v>0</v>
      </c>
      <c r="K53" s="660">
        <v>0</v>
      </c>
      <c r="L53" s="55">
        <v>0</v>
      </c>
      <c r="M53" s="55">
        <v>0</v>
      </c>
      <c r="N53" s="325">
        <v>0</v>
      </c>
      <c r="O53" s="719">
        <v>0</v>
      </c>
      <c r="P53" s="440">
        <f>W53*-1</f>
        <v>0</v>
      </c>
      <c r="Q53" s="573">
        <v>0</v>
      </c>
      <c r="R53" s="325">
        <v>0</v>
      </c>
      <c r="S53" s="325">
        <v>0</v>
      </c>
      <c r="T53" s="325">
        <v>0</v>
      </c>
      <c r="U53" s="325">
        <v>0</v>
      </c>
      <c r="V53" s="492">
        <f>P53+Q53+R53+S53+T53+U53</f>
        <v>0</v>
      </c>
      <c r="W53" s="325">
        <v>0</v>
      </c>
      <c r="X53" s="325">
        <v>0</v>
      </c>
      <c r="Y53" s="325">
        <v>0</v>
      </c>
      <c r="Z53" s="492">
        <f>W53+X53+Y53</f>
        <v>0</v>
      </c>
      <c r="AA53" s="492">
        <f>V53+Z53</f>
        <v>0</v>
      </c>
      <c r="AB53" s="494">
        <f>ROUND((V53+Z53)*33.8%,0)</f>
        <v>0</v>
      </c>
      <c r="AC53" s="494">
        <f>ROUND(V53*1%,0)</f>
        <v>0</v>
      </c>
      <c r="AD53" s="492">
        <v>0</v>
      </c>
      <c r="AE53" s="753">
        <f t="shared" si="27"/>
        <v>0</v>
      </c>
      <c r="AF53" s="688">
        <v>0</v>
      </c>
      <c r="AG53" s="576">
        <v>0</v>
      </c>
      <c r="AH53" s="326">
        <v>0</v>
      </c>
      <c r="AI53" s="326">
        <v>0</v>
      </c>
      <c r="AJ53" s="326">
        <v>0</v>
      </c>
      <c r="AK53" s="326">
        <v>0</v>
      </c>
      <c r="AL53" s="609">
        <f>SUM(AF53:AK53)</f>
        <v>0</v>
      </c>
      <c r="AM53" s="676">
        <f>I53+AE53</f>
        <v>0</v>
      </c>
      <c r="AN53" s="492">
        <f>J53+V53</f>
        <v>0</v>
      </c>
      <c r="AO53" s="573">
        <f>K53+Z53</f>
        <v>0</v>
      </c>
      <c r="AP53" s="492">
        <f t="shared" si="28"/>
        <v>0</v>
      </c>
      <c r="AQ53" s="492">
        <f t="shared" si="28"/>
        <v>0</v>
      </c>
      <c r="AR53" s="492">
        <f t="shared" si="28"/>
        <v>0</v>
      </c>
      <c r="AS53" s="609">
        <f>O53+AL53</f>
        <v>0</v>
      </c>
      <c r="AT53" s="240"/>
    </row>
    <row r="54" spans="1:46" ht="12.95" customHeight="1" x14ac:dyDescent="0.25">
      <c r="A54" s="198">
        <v>10</v>
      </c>
      <c r="B54" s="250">
        <v>5483</v>
      </c>
      <c r="C54" s="251">
        <v>600098460</v>
      </c>
      <c r="D54" s="250">
        <v>72745207</v>
      </c>
      <c r="E54" s="274" t="s">
        <v>413</v>
      </c>
      <c r="F54" s="250"/>
      <c r="G54" s="275"/>
      <c r="H54" s="563"/>
      <c r="I54" s="646">
        <v>1690571</v>
      </c>
      <c r="J54" s="661">
        <v>1233586</v>
      </c>
      <c r="K54" s="661">
        <v>20700</v>
      </c>
      <c r="L54" s="355">
        <v>423949</v>
      </c>
      <c r="M54" s="355">
        <v>12336</v>
      </c>
      <c r="N54" s="355">
        <v>0</v>
      </c>
      <c r="O54" s="720">
        <v>2.1418000000000004</v>
      </c>
      <c r="P54" s="442">
        <f t="shared" ref="P54:AS54" si="29">SUM(P52:P53)</f>
        <v>-13800</v>
      </c>
      <c r="Q54" s="442">
        <f t="shared" si="29"/>
        <v>0</v>
      </c>
      <c r="R54" s="355">
        <f t="shared" si="29"/>
        <v>0</v>
      </c>
      <c r="S54" s="355">
        <f t="shared" si="29"/>
        <v>0</v>
      </c>
      <c r="T54" s="355">
        <f t="shared" si="29"/>
        <v>0</v>
      </c>
      <c r="U54" s="355">
        <f t="shared" si="29"/>
        <v>0</v>
      </c>
      <c r="V54" s="355">
        <f t="shared" si="29"/>
        <v>-13800</v>
      </c>
      <c r="W54" s="355">
        <f t="shared" si="29"/>
        <v>13800</v>
      </c>
      <c r="X54" s="355">
        <f t="shared" si="29"/>
        <v>0</v>
      </c>
      <c r="Y54" s="355">
        <f t="shared" si="29"/>
        <v>0</v>
      </c>
      <c r="Z54" s="355">
        <f t="shared" si="29"/>
        <v>13800</v>
      </c>
      <c r="AA54" s="355">
        <f t="shared" si="29"/>
        <v>0</v>
      </c>
      <c r="AB54" s="355">
        <f t="shared" si="29"/>
        <v>0</v>
      </c>
      <c r="AC54" s="355">
        <f t="shared" si="29"/>
        <v>-138</v>
      </c>
      <c r="AD54" s="355">
        <f t="shared" si="29"/>
        <v>0</v>
      </c>
      <c r="AE54" s="665">
        <f t="shared" si="29"/>
        <v>-138</v>
      </c>
      <c r="AF54" s="802">
        <f t="shared" si="29"/>
        <v>-0.03</v>
      </c>
      <c r="AG54" s="356">
        <f t="shared" si="29"/>
        <v>0</v>
      </c>
      <c r="AH54" s="356">
        <f t="shared" si="29"/>
        <v>0</v>
      </c>
      <c r="AI54" s="356">
        <f t="shared" si="29"/>
        <v>0</v>
      </c>
      <c r="AJ54" s="356">
        <f t="shared" si="29"/>
        <v>0</v>
      </c>
      <c r="AK54" s="356">
        <f t="shared" si="29"/>
        <v>0</v>
      </c>
      <c r="AL54" s="253">
        <f t="shared" si="29"/>
        <v>-0.03</v>
      </c>
      <c r="AM54" s="668">
        <f t="shared" si="29"/>
        <v>1690433</v>
      </c>
      <c r="AN54" s="442">
        <f t="shared" si="29"/>
        <v>1219786</v>
      </c>
      <c r="AO54" s="355">
        <f t="shared" si="29"/>
        <v>34500</v>
      </c>
      <c r="AP54" s="355">
        <f t="shared" si="29"/>
        <v>423949</v>
      </c>
      <c r="AQ54" s="355">
        <f t="shared" si="29"/>
        <v>12198</v>
      </c>
      <c r="AR54" s="355">
        <f t="shared" si="29"/>
        <v>0</v>
      </c>
      <c r="AS54" s="253">
        <f t="shared" si="29"/>
        <v>2.1118000000000006</v>
      </c>
      <c r="AT54" s="240"/>
    </row>
    <row r="55" spans="1:46" ht="12.95" customHeight="1" x14ac:dyDescent="0.25">
      <c r="A55" s="205">
        <v>11</v>
      </c>
      <c r="B55" s="246">
        <v>5430</v>
      </c>
      <c r="C55" s="247">
        <v>650026144</v>
      </c>
      <c r="D55" s="206">
        <v>70695148</v>
      </c>
      <c r="E55" s="273" t="s">
        <v>414</v>
      </c>
      <c r="F55" s="246">
        <v>3111</v>
      </c>
      <c r="G55" s="270" t="s">
        <v>290</v>
      </c>
      <c r="H55" s="209" t="s">
        <v>262</v>
      </c>
      <c r="I55" s="580">
        <v>2234006</v>
      </c>
      <c r="J55" s="660">
        <v>1651319</v>
      </c>
      <c r="K55" s="660">
        <v>6000</v>
      </c>
      <c r="L55" s="55">
        <v>560174</v>
      </c>
      <c r="M55" s="55">
        <v>16513</v>
      </c>
      <c r="N55" s="325">
        <v>0</v>
      </c>
      <c r="O55" s="719">
        <v>3</v>
      </c>
      <c r="P55" s="445">
        <f t="shared" ref="P55:P58" si="30">W55*-1</f>
        <v>-4000</v>
      </c>
      <c r="Q55" s="573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>P55+Q55+R55+S55+T55+U55</f>
        <v>-4000</v>
      </c>
      <c r="W55" s="325">
        <v>4000</v>
      </c>
      <c r="X55" s="325">
        <v>0</v>
      </c>
      <c r="Y55" s="325">
        <v>0</v>
      </c>
      <c r="Z55" s="492">
        <f>W55+X55+Y55</f>
        <v>4000</v>
      </c>
      <c r="AA55" s="492">
        <f>V55+Z55</f>
        <v>0</v>
      </c>
      <c r="AB55" s="494">
        <f>ROUND((V55+Z55)*33.8%,0)</f>
        <v>0</v>
      </c>
      <c r="AC55" s="494">
        <f>ROUND(V55*1%,0)</f>
        <v>-40</v>
      </c>
      <c r="AD55" s="492">
        <v>0</v>
      </c>
      <c r="AE55" s="753">
        <f t="shared" ref="AE55:AE58" si="31">AA55+AB55+AC55+AD55</f>
        <v>-40</v>
      </c>
      <c r="AF55" s="688">
        <v>0</v>
      </c>
      <c r="AG55" s="576">
        <v>0</v>
      </c>
      <c r="AH55" s="326">
        <v>0</v>
      </c>
      <c r="AI55" s="326">
        <v>0</v>
      </c>
      <c r="AJ55" s="326">
        <v>0</v>
      </c>
      <c r="AK55" s="326">
        <v>0</v>
      </c>
      <c r="AL55" s="609">
        <f>SUM(AF55:AK55)</f>
        <v>0</v>
      </c>
      <c r="AM55" s="676">
        <f>I55+AE55</f>
        <v>2233966</v>
      </c>
      <c r="AN55" s="492">
        <f>J55+V55</f>
        <v>1647319</v>
      </c>
      <c r="AO55" s="573">
        <f>K55+Z55</f>
        <v>10000</v>
      </c>
      <c r="AP55" s="492">
        <f t="shared" ref="AP55:AR58" si="32">L55+AB55</f>
        <v>560174</v>
      </c>
      <c r="AQ55" s="492">
        <f t="shared" si="32"/>
        <v>16473</v>
      </c>
      <c r="AR55" s="492">
        <f t="shared" si="32"/>
        <v>0</v>
      </c>
      <c r="AS55" s="609">
        <f>O55+AL55</f>
        <v>3</v>
      </c>
      <c r="AT55" s="240"/>
    </row>
    <row r="56" spans="1:46" ht="12.95" customHeight="1" x14ac:dyDescent="0.25">
      <c r="A56" s="205">
        <v>11</v>
      </c>
      <c r="B56" s="246">
        <v>5430</v>
      </c>
      <c r="C56" s="247">
        <v>650026144</v>
      </c>
      <c r="D56" s="206">
        <v>70695148</v>
      </c>
      <c r="E56" s="273" t="s">
        <v>414</v>
      </c>
      <c r="F56" s="246">
        <v>3117</v>
      </c>
      <c r="G56" s="270" t="s">
        <v>294</v>
      </c>
      <c r="H56" s="209" t="s">
        <v>262</v>
      </c>
      <c r="I56" s="580">
        <v>3175155</v>
      </c>
      <c r="J56" s="660">
        <v>2349501</v>
      </c>
      <c r="K56" s="660">
        <v>6000</v>
      </c>
      <c r="L56" s="55">
        <v>796159</v>
      </c>
      <c r="M56" s="55">
        <v>23495</v>
      </c>
      <c r="N56" s="325">
        <v>0</v>
      </c>
      <c r="O56" s="719">
        <v>3.3635999999999999</v>
      </c>
      <c r="P56" s="440">
        <f t="shared" si="30"/>
        <v>-4000</v>
      </c>
      <c r="Q56" s="573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>P56+Q56+R56+S56+T56+U56</f>
        <v>-4000</v>
      </c>
      <c r="W56" s="325">
        <v>4000</v>
      </c>
      <c r="X56" s="325">
        <v>0</v>
      </c>
      <c r="Y56" s="325">
        <v>0</v>
      </c>
      <c r="Z56" s="492">
        <f>W56+X56+Y56</f>
        <v>4000</v>
      </c>
      <c r="AA56" s="492">
        <f>V56+Z56</f>
        <v>0</v>
      </c>
      <c r="AB56" s="494">
        <f>ROUND((V56+Z56)*33.8%,0)</f>
        <v>0</v>
      </c>
      <c r="AC56" s="494">
        <f>ROUND(V56*1%,0)</f>
        <v>-40</v>
      </c>
      <c r="AD56" s="492">
        <v>0</v>
      </c>
      <c r="AE56" s="753">
        <f t="shared" si="31"/>
        <v>-40</v>
      </c>
      <c r="AF56" s="688">
        <v>0</v>
      </c>
      <c r="AG56" s="576">
        <v>0</v>
      </c>
      <c r="AH56" s="326">
        <v>0</v>
      </c>
      <c r="AI56" s="326">
        <v>0</v>
      </c>
      <c r="AJ56" s="326">
        <v>0</v>
      </c>
      <c r="AK56" s="326">
        <v>0</v>
      </c>
      <c r="AL56" s="609">
        <f>SUM(AF56:AK56)</f>
        <v>0</v>
      </c>
      <c r="AM56" s="676">
        <f>I56+AE56</f>
        <v>3175115</v>
      </c>
      <c r="AN56" s="492">
        <f>J56+V56</f>
        <v>2345501</v>
      </c>
      <c r="AO56" s="573">
        <f>K56+Z56</f>
        <v>10000</v>
      </c>
      <c r="AP56" s="492">
        <f t="shared" si="32"/>
        <v>796159</v>
      </c>
      <c r="AQ56" s="492">
        <f t="shared" si="32"/>
        <v>23455</v>
      </c>
      <c r="AR56" s="492">
        <f t="shared" si="32"/>
        <v>0</v>
      </c>
      <c r="AS56" s="609">
        <f>O56+AL56</f>
        <v>3.3635999999999999</v>
      </c>
      <c r="AT56" s="240"/>
    </row>
    <row r="57" spans="1:46" ht="12.95" customHeight="1" x14ac:dyDescent="0.25">
      <c r="A57" s="205">
        <v>11</v>
      </c>
      <c r="B57" s="246">
        <v>5430</v>
      </c>
      <c r="C57" s="247">
        <v>650026144</v>
      </c>
      <c r="D57" s="206">
        <v>70695148</v>
      </c>
      <c r="E57" s="273" t="s">
        <v>414</v>
      </c>
      <c r="F57" s="246">
        <v>3117</v>
      </c>
      <c r="G57" s="209" t="s">
        <v>278</v>
      </c>
      <c r="H57" s="209" t="s">
        <v>263</v>
      </c>
      <c r="I57" s="580">
        <v>534949</v>
      </c>
      <c r="J57" s="660">
        <v>396847</v>
      </c>
      <c r="K57" s="660">
        <v>0</v>
      </c>
      <c r="L57" s="55">
        <v>134134</v>
      </c>
      <c r="M57" s="55">
        <v>3968</v>
      </c>
      <c r="N57" s="325">
        <v>0</v>
      </c>
      <c r="O57" s="719">
        <v>1</v>
      </c>
      <c r="P57" s="440">
        <f t="shared" si="30"/>
        <v>0</v>
      </c>
      <c r="Q57" s="573">
        <v>0</v>
      </c>
      <c r="R57" s="325">
        <v>0</v>
      </c>
      <c r="S57" s="325">
        <v>0</v>
      </c>
      <c r="T57" s="325">
        <v>0</v>
      </c>
      <c r="U57" s="325">
        <v>0</v>
      </c>
      <c r="V57" s="492">
        <f>P57+Q57+R57+S57+T57+U57</f>
        <v>0</v>
      </c>
      <c r="W57" s="325">
        <v>0</v>
      </c>
      <c r="X57" s="325">
        <v>0</v>
      </c>
      <c r="Y57" s="325">
        <v>0</v>
      </c>
      <c r="Z57" s="492">
        <f>W57+X57+Y57</f>
        <v>0</v>
      </c>
      <c r="AA57" s="492">
        <f>V57+Z57</f>
        <v>0</v>
      </c>
      <c r="AB57" s="494">
        <f>ROUND((V57+Z57)*33.8%,0)</f>
        <v>0</v>
      </c>
      <c r="AC57" s="494">
        <f>ROUND(V57*1%,0)</f>
        <v>0</v>
      </c>
      <c r="AD57" s="492">
        <v>0</v>
      </c>
      <c r="AE57" s="753">
        <f t="shared" si="31"/>
        <v>0</v>
      </c>
      <c r="AF57" s="688">
        <v>0</v>
      </c>
      <c r="AG57" s="576">
        <v>0</v>
      </c>
      <c r="AH57" s="326">
        <v>0</v>
      </c>
      <c r="AI57" s="326">
        <v>0</v>
      </c>
      <c r="AJ57" s="326">
        <v>0</v>
      </c>
      <c r="AK57" s="326">
        <v>0</v>
      </c>
      <c r="AL57" s="609">
        <f>SUM(AF57:AK57)</f>
        <v>0</v>
      </c>
      <c r="AM57" s="676">
        <f>I57+AE57</f>
        <v>534949</v>
      </c>
      <c r="AN57" s="492">
        <f>J57+V57</f>
        <v>396847</v>
      </c>
      <c r="AO57" s="573">
        <f>K57+Z57</f>
        <v>0</v>
      </c>
      <c r="AP57" s="492">
        <f t="shared" si="32"/>
        <v>134134</v>
      </c>
      <c r="AQ57" s="492">
        <f t="shared" si="32"/>
        <v>3968</v>
      </c>
      <c r="AR57" s="492">
        <f t="shared" si="32"/>
        <v>0</v>
      </c>
      <c r="AS57" s="609">
        <f>O57+AL57</f>
        <v>1</v>
      </c>
      <c r="AT57" s="240"/>
    </row>
    <row r="58" spans="1:46" ht="12.95" customHeight="1" x14ac:dyDescent="0.25">
      <c r="A58" s="205">
        <v>11</v>
      </c>
      <c r="B58" s="246">
        <v>5430</v>
      </c>
      <c r="C58" s="247">
        <v>650026144</v>
      </c>
      <c r="D58" s="206">
        <v>70695148</v>
      </c>
      <c r="E58" s="273" t="s">
        <v>414</v>
      </c>
      <c r="F58" s="246">
        <v>3143</v>
      </c>
      <c r="G58" s="209" t="s">
        <v>794</v>
      </c>
      <c r="H58" s="209" t="s">
        <v>262</v>
      </c>
      <c r="I58" s="580">
        <v>630940</v>
      </c>
      <c r="J58" s="660">
        <v>468056</v>
      </c>
      <c r="K58" s="660">
        <v>0</v>
      </c>
      <c r="L58" s="55">
        <v>158203</v>
      </c>
      <c r="M58" s="55">
        <v>4681</v>
      </c>
      <c r="N58" s="325">
        <v>0</v>
      </c>
      <c r="O58" s="719">
        <v>0.88070000000000004</v>
      </c>
      <c r="P58" s="440">
        <f t="shared" si="30"/>
        <v>0</v>
      </c>
      <c r="Q58" s="573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>P58+Q58+R58+S58+T58+U58</f>
        <v>0</v>
      </c>
      <c r="W58" s="325">
        <v>0</v>
      </c>
      <c r="X58" s="325">
        <v>0</v>
      </c>
      <c r="Y58" s="325">
        <v>0</v>
      </c>
      <c r="Z58" s="492">
        <f>W58+X58+Y58</f>
        <v>0</v>
      </c>
      <c r="AA58" s="492">
        <f>V58+Z58</f>
        <v>0</v>
      </c>
      <c r="AB58" s="494">
        <f>ROUND((V58+Z58)*33.8%,0)</f>
        <v>0</v>
      </c>
      <c r="AC58" s="494">
        <f>ROUND(V58*1%,0)</f>
        <v>0</v>
      </c>
      <c r="AD58" s="492">
        <v>0</v>
      </c>
      <c r="AE58" s="753">
        <f t="shared" si="31"/>
        <v>0</v>
      </c>
      <c r="AF58" s="688">
        <v>0</v>
      </c>
      <c r="AG58" s="576">
        <v>0</v>
      </c>
      <c r="AH58" s="326">
        <v>0</v>
      </c>
      <c r="AI58" s="326">
        <v>0</v>
      </c>
      <c r="AJ58" s="326">
        <v>0</v>
      </c>
      <c r="AK58" s="326">
        <v>0</v>
      </c>
      <c r="AL58" s="609">
        <f>SUM(AF58:AK58)</f>
        <v>0</v>
      </c>
      <c r="AM58" s="676">
        <f>I58+AE58</f>
        <v>630940</v>
      </c>
      <c r="AN58" s="492">
        <f>J58+V58</f>
        <v>468056</v>
      </c>
      <c r="AO58" s="573">
        <f>K58+Z58</f>
        <v>0</v>
      </c>
      <c r="AP58" s="492">
        <f t="shared" si="32"/>
        <v>158203</v>
      </c>
      <c r="AQ58" s="492">
        <f t="shared" si="32"/>
        <v>4681</v>
      </c>
      <c r="AR58" s="492">
        <f t="shared" si="32"/>
        <v>0</v>
      </c>
      <c r="AS58" s="609">
        <f>O58+AL58</f>
        <v>0.88070000000000004</v>
      </c>
      <c r="AT58" s="240"/>
    </row>
    <row r="59" spans="1:46" ht="12.95" customHeight="1" x14ac:dyDescent="0.25">
      <c r="A59" s="198">
        <v>11</v>
      </c>
      <c r="B59" s="250">
        <v>5430</v>
      </c>
      <c r="C59" s="251">
        <v>650026144</v>
      </c>
      <c r="D59" s="250">
        <v>70695148</v>
      </c>
      <c r="E59" s="274" t="s">
        <v>415</v>
      </c>
      <c r="F59" s="250"/>
      <c r="G59" s="275"/>
      <c r="H59" s="563"/>
      <c r="I59" s="646">
        <v>6575050</v>
      </c>
      <c r="J59" s="661">
        <v>4865723</v>
      </c>
      <c r="K59" s="661">
        <v>12000</v>
      </c>
      <c r="L59" s="355">
        <v>1648670</v>
      </c>
      <c r="M59" s="355">
        <v>48657</v>
      </c>
      <c r="N59" s="355">
        <v>0</v>
      </c>
      <c r="O59" s="720">
        <v>8.2442999999999991</v>
      </c>
      <c r="P59" s="442">
        <f t="shared" ref="P59:AS59" si="33">SUM(P55:P58)</f>
        <v>-8000</v>
      </c>
      <c r="Q59" s="442">
        <f t="shared" si="33"/>
        <v>0</v>
      </c>
      <c r="R59" s="355">
        <f t="shared" si="33"/>
        <v>0</v>
      </c>
      <c r="S59" s="355">
        <f t="shared" si="33"/>
        <v>0</v>
      </c>
      <c r="T59" s="355">
        <f t="shared" si="33"/>
        <v>0</v>
      </c>
      <c r="U59" s="355">
        <f t="shared" si="33"/>
        <v>0</v>
      </c>
      <c r="V59" s="355">
        <f t="shared" si="33"/>
        <v>-8000</v>
      </c>
      <c r="W59" s="355">
        <f t="shared" si="33"/>
        <v>8000</v>
      </c>
      <c r="X59" s="355">
        <f t="shared" si="33"/>
        <v>0</v>
      </c>
      <c r="Y59" s="355">
        <f t="shared" si="33"/>
        <v>0</v>
      </c>
      <c r="Z59" s="355">
        <f t="shared" si="33"/>
        <v>8000</v>
      </c>
      <c r="AA59" s="355">
        <f t="shared" si="33"/>
        <v>0</v>
      </c>
      <c r="AB59" s="355">
        <f t="shared" si="33"/>
        <v>0</v>
      </c>
      <c r="AC59" s="355">
        <f t="shared" si="33"/>
        <v>-80</v>
      </c>
      <c r="AD59" s="355">
        <f t="shared" si="33"/>
        <v>0</v>
      </c>
      <c r="AE59" s="665">
        <f t="shared" si="33"/>
        <v>-80</v>
      </c>
      <c r="AF59" s="802">
        <f t="shared" si="33"/>
        <v>0</v>
      </c>
      <c r="AG59" s="356">
        <f t="shared" si="33"/>
        <v>0</v>
      </c>
      <c r="AH59" s="356">
        <f t="shared" si="33"/>
        <v>0</v>
      </c>
      <c r="AI59" s="356">
        <f t="shared" si="33"/>
        <v>0</v>
      </c>
      <c r="AJ59" s="356">
        <f t="shared" si="33"/>
        <v>0</v>
      </c>
      <c r="AK59" s="356">
        <f t="shared" si="33"/>
        <v>0</v>
      </c>
      <c r="AL59" s="253">
        <f t="shared" si="33"/>
        <v>0</v>
      </c>
      <c r="AM59" s="668">
        <f t="shared" si="33"/>
        <v>6574970</v>
      </c>
      <c r="AN59" s="442">
        <f t="shared" si="33"/>
        <v>4857723</v>
      </c>
      <c r="AO59" s="355">
        <f t="shared" si="33"/>
        <v>20000</v>
      </c>
      <c r="AP59" s="355">
        <f t="shared" si="33"/>
        <v>1648670</v>
      </c>
      <c r="AQ59" s="355">
        <f t="shared" si="33"/>
        <v>48577</v>
      </c>
      <c r="AR59" s="355">
        <f t="shared" si="33"/>
        <v>0</v>
      </c>
      <c r="AS59" s="253">
        <f t="shared" si="33"/>
        <v>8.2442999999999991</v>
      </c>
      <c r="AT59" s="240"/>
    </row>
    <row r="60" spans="1:46" ht="12.95" customHeight="1" x14ac:dyDescent="0.25">
      <c r="A60" s="205">
        <v>12</v>
      </c>
      <c r="B60" s="246">
        <v>5431</v>
      </c>
      <c r="C60" s="247">
        <v>600099016</v>
      </c>
      <c r="D60" s="206">
        <v>70698112</v>
      </c>
      <c r="E60" s="273" t="s">
        <v>416</v>
      </c>
      <c r="F60" s="246">
        <v>3111</v>
      </c>
      <c r="G60" s="270" t="s">
        <v>290</v>
      </c>
      <c r="H60" s="209" t="s">
        <v>262</v>
      </c>
      <c r="I60" s="580">
        <v>1550785</v>
      </c>
      <c r="J60" s="660">
        <v>1150434</v>
      </c>
      <c r="K60" s="660">
        <v>0</v>
      </c>
      <c r="L60" s="55">
        <v>388847</v>
      </c>
      <c r="M60" s="55">
        <v>11504</v>
      </c>
      <c r="N60" s="325">
        <v>0</v>
      </c>
      <c r="O60" s="719">
        <v>2</v>
      </c>
      <c r="P60" s="445">
        <f t="shared" ref="P60:P63" si="34">W60*-1</f>
        <v>0</v>
      </c>
      <c r="Q60" s="573">
        <v>0</v>
      </c>
      <c r="R60" s="325">
        <v>0</v>
      </c>
      <c r="S60" s="325">
        <v>0</v>
      </c>
      <c r="T60" s="325">
        <v>0</v>
      </c>
      <c r="U60" s="325">
        <v>0</v>
      </c>
      <c r="V60" s="492">
        <f>P60+Q60+R60+S60+T60+U60</f>
        <v>0</v>
      </c>
      <c r="W60" s="325">
        <v>0</v>
      </c>
      <c r="X60" s="325">
        <v>0</v>
      </c>
      <c r="Y60" s="325">
        <v>0</v>
      </c>
      <c r="Z60" s="492">
        <f>W60+X60+Y60</f>
        <v>0</v>
      </c>
      <c r="AA60" s="492">
        <f>V60+Z60</f>
        <v>0</v>
      </c>
      <c r="AB60" s="494">
        <f>ROUND((V60+Z60)*33.8%,0)</f>
        <v>0</v>
      </c>
      <c r="AC60" s="494">
        <f>ROUND(V60*1%,0)</f>
        <v>0</v>
      </c>
      <c r="AD60" s="492">
        <v>0</v>
      </c>
      <c r="AE60" s="753">
        <f t="shared" ref="AE60:AE63" si="35">AA60+AB60+AC60+AD60</f>
        <v>0</v>
      </c>
      <c r="AF60" s="688">
        <v>0</v>
      </c>
      <c r="AG60" s="576">
        <v>0</v>
      </c>
      <c r="AH60" s="326">
        <v>0</v>
      </c>
      <c r="AI60" s="326">
        <v>0</v>
      </c>
      <c r="AJ60" s="326">
        <v>0</v>
      </c>
      <c r="AK60" s="326">
        <v>0</v>
      </c>
      <c r="AL60" s="609">
        <f>SUM(AF60:AK60)</f>
        <v>0</v>
      </c>
      <c r="AM60" s="676">
        <f>I60+AE60</f>
        <v>1550785</v>
      </c>
      <c r="AN60" s="492">
        <f>J60+V60</f>
        <v>1150434</v>
      </c>
      <c r="AO60" s="573">
        <f>K60+Z60</f>
        <v>0</v>
      </c>
      <c r="AP60" s="492">
        <f t="shared" ref="AP60:AR63" si="36">L60+AB60</f>
        <v>388847</v>
      </c>
      <c r="AQ60" s="492">
        <f t="shared" si="36"/>
        <v>11504</v>
      </c>
      <c r="AR60" s="492">
        <f t="shared" si="36"/>
        <v>0</v>
      </c>
      <c r="AS60" s="609">
        <f>O60+AL60</f>
        <v>2</v>
      </c>
      <c r="AT60" s="240"/>
    </row>
    <row r="61" spans="1:46" ht="12.95" customHeight="1" x14ac:dyDescent="0.25">
      <c r="A61" s="205">
        <v>12</v>
      </c>
      <c r="B61" s="246">
        <v>5431</v>
      </c>
      <c r="C61" s="247">
        <v>600099016</v>
      </c>
      <c r="D61" s="206">
        <v>70698112</v>
      </c>
      <c r="E61" s="273" t="s">
        <v>416</v>
      </c>
      <c r="F61" s="246">
        <v>3117</v>
      </c>
      <c r="G61" s="270" t="s">
        <v>294</v>
      </c>
      <c r="H61" s="209" t="s">
        <v>262</v>
      </c>
      <c r="I61" s="580">
        <v>3144565</v>
      </c>
      <c r="J61" s="660">
        <v>2323831</v>
      </c>
      <c r="K61" s="660">
        <v>9000</v>
      </c>
      <c r="L61" s="55">
        <v>788496</v>
      </c>
      <c r="M61" s="55">
        <v>23238</v>
      </c>
      <c r="N61" s="325">
        <v>0</v>
      </c>
      <c r="O61" s="719">
        <v>3.7170000000000001</v>
      </c>
      <c r="P61" s="440">
        <f t="shared" si="34"/>
        <v>-6000</v>
      </c>
      <c r="Q61" s="573">
        <v>0</v>
      </c>
      <c r="R61" s="325">
        <v>0</v>
      </c>
      <c r="S61" s="325">
        <v>0</v>
      </c>
      <c r="T61" s="325">
        <v>0</v>
      </c>
      <c r="U61" s="325">
        <v>0</v>
      </c>
      <c r="V61" s="492">
        <f>P61+Q61+R61+S61+T61+U61</f>
        <v>-6000</v>
      </c>
      <c r="W61" s="325">
        <v>6000</v>
      </c>
      <c r="X61" s="325">
        <v>0</v>
      </c>
      <c r="Y61" s="325">
        <v>0</v>
      </c>
      <c r="Z61" s="492">
        <f>W61+X61+Y61</f>
        <v>6000</v>
      </c>
      <c r="AA61" s="492">
        <f>V61+Z61</f>
        <v>0</v>
      </c>
      <c r="AB61" s="494">
        <f>ROUND((V61+Z61)*33.8%,0)</f>
        <v>0</v>
      </c>
      <c r="AC61" s="494">
        <f>ROUND(V61*1%,0)</f>
        <v>-60</v>
      </c>
      <c r="AD61" s="492">
        <v>0</v>
      </c>
      <c r="AE61" s="753">
        <f t="shared" si="35"/>
        <v>-60</v>
      </c>
      <c r="AF61" s="688">
        <v>0</v>
      </c>
      <c r="AG61" s="576">
        <v>0</v>
      </c>
      <c r="AH61" s="326">
        <v>0</v>
      </c>
      <c r="AI61" s="326">
        <v>0</v>
      </c>
      <c r="AJ61" s="326">
        <v>0</v>
      </c>
      <c r="AK61" s="326">
        <v>0</v>
      </c>
      <c r="AL61" s="609">
        <f>SUM(AF61:AK61)</f>
        <v>0</v>
      </c>
      <c r="AM61" s="676">
        <f>I61+AE61</f>
        <v>3144505</v>
      </c>
      <c r="AN61" s="492">
        <f>J61+V61</f>
        <v>2317831</v>
      </c>
      <c r="AO61" s="573">
        <f>K61+Z61</f>
        <v>15000</v>
      </c>
      <c r="AP61" s="492">
        <f t="shared" si="36"/>
        <v>788496</v>
      </c>
      <c r="AQ61" s="492">
        <f t="shared" si="36"/>
        <v>23178</v>
      </c>
      <c r="AR61" s="492">
        <f t="shared" si="36"/>
        <v>0</v>
      </c>
      <c r="AS61" s="609">
        <f>O61+AL61</f>
        <v>3.7170000000000001</v>
      </c>
      <c r="AT61" s="240"/>
    </row>
    <row r="62" spans="1:46" ht="12.95" customHeight="1" x14ac:dyDescent="0.25">
      <c r="A62" s="205">
        <v>12</v>
      </c>
      <c r="B62" s="246">
        <v>5431</v>
      </c>
      <c r="C62" s="247">
        <v>600099016</v>
      </c>
      <c r="D62" s="206">
        <v>70698112</v>
      </c>
      <c r="E62" s="273" t="s">
        <v>416</v>
      </c>
      <c r="F62" s="246">
        <v>3117</v>
      </c>
      <c r="G62" s="209" t="s">
        <v>278</v>
      </c>
      <c r="H62" s="209" t="s">
        <v>263</v>
      </c>
      <c r="I62" s="580">
        <v>1337378</v>
      </c>
      <c r="J62" s="660">
        <v>992120</v>
      </c>
      <c r="K62" s="660">
        <v>0</v>
      </c>
      <c r="L62" s="55">
        <v>335337</v>
      </c>
      <c r="M62" s="55">
        <v>9921</v>
      </c>
      <c r="N62" s="325">
        <v>0</v>
      </c>
      <c r="O62" s="719">
        <v>2.5</v>
      </c>
      <c r="P62" s="440">
        <f t="shared" si="34"/>
        <v>0</v>
      </c>
      <c r="Q62" s="573">
        <v>148817</v>
      </c>
      <c r="R62" s="325">
        <v>0</v>
      </c>
      <c r="S62" s="325">
        <v>0</v>
      </c>
      <c r="T62" s="325">
        <v>0</v>
      </c>
      <c r="U62" s="325">
        <v>0</v>
      </c>
      <c r="V62" s="492">
        <f>P62+Q62+R62+S62+T62+U62</f>
        <v>148817</v>
      </c>
      <c r="W62" s="325">
        <v>0</v>
      </c>
      <c r="X62" s="325">
        <v>0</v>
      </c>
      <c r="Y62" s="325">
        <v>0</v>
      </c>
      <c r="Z62" s="492">
        <f>W62+X62+Y62</f>
        <v>0</v>
      </c>
      <c r="AA62" s="492">
        <f>V62+Z62</f>
        <v>148817</v>
      </c>
      <c r="AB62" s="494">
        <f>ROUND((V62+Z62)*33.8%,0)</f>
        <v>50300</v>
      </c>
      <c r="AC62" s="494">
        <f>ROUND(V62*1%,0)</f>
        <v>1488</v>
      </c>
      <c r="AD62" s="492">
        <v>0</v>
      </c>
      <c r="AE62" s="753">
        <f t="shared" si="35"/>
        <v>200605</v>
      </c>
      <c r="AF62" s="688">
        <v>0</v>
      </c>
      <c r="AG62" s="576">
        <v>0.37</v>
      </c>
      <c r="AH62" s="326">
        <v>0</v>
      </c>
      <c r="AI62" s="326">
        <v>0</v>
      </c>
      <c r="AJ62" s="326">
        <v>0</v>
      </c>
      <c r="AK62" s="326">
        <v>0</v>
      </c>
      <c r="AL62" s="609">
        <f>SUM(AF62:AK62)</f>
        <v>0.37</v>
      </c>
      <c r="AM62" s="676">
        <f>I62+AE62</f>
        <v>1537983</v>
      </c>
      <c r="AN62" s="492">
        <f>J62+V62</f>
        <v>1140937</v>
      </c>
      <c r="AO62" s="573">
        <f>K62+Z62</f>
        <v>0</v>
      </c>
      <c r="AP62" s="492">
        <f t="shared" si="36"/>
        <v>385637</v>
      </c>
      <c r="AQ62" s="492">
        <f t="shared" si="36"/>
        <v>11409</v>
      </c>
      <c r="AR62" s="492">
        <f t="shared" si="36"/>
        <v>0</v>
      </c>
      <c r="AS62" s="609">
        <f>O62+AL62</f>
        <v>2.87</v>
      </c>
      <c r="AT62" s="240"/>
    </row>
    <row r="63" spans="1:46" ht="12.95" customHeight="1" x14ac:dyDescent="0.25">
      <c r="A63" s="205">
        <v>12</v>
      </c>
      <c r="B63" s="246">
        <v>5431</v>
      </c>
      <c r="C63" s="247">
        <v>600099016</v>
      </c>
      <c r="D63" s="206">
        <v>70698112</v>
      </c>
      <c r="E63" s="273" t="s">
        <v>416</v>
      </c>
      <c r="F63" s="246">
        <v>3143</v>
      </c>
      <c r="G63" s="209" t="s">
        <v>795</v>
      </c>
      <c r="H63" s="209" t="s">
        <v>262</v>
      </c>
      <c r="I63" s="580">
        <v>489954</v>
      </c>
      <c r="J63" s="660">
        <v>363467</v>
      </c>
      <c r="K63" s="660">
        <v>0</v>
      </c>
      <c r="L63" s="55">
        <v>122852</v>
      </c>
      <c r="M63" s="55">
        <v>3635</v>
      </c>
      <c r="N63" s="325">
        <v>0</v>
      </c>
      <c r="O63" s="719">
        <v>0.71419999999999995</v>
      </c>
      <c r="P63" s="440">
        <f t="shared" si="34"/>
        <v>0</v>
      </c>
      <c r="Q63" s="573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>P63+Q63+R63+S63+T63+U63</f>
        <v>0</v>
      </c>
      <c r="W63" s="325">
        <v>0</v>
      </c>
      <c r="X63" s="325">
        <v>0</v>
      </c>
      <c r="Y63" s="325">
        <v>0</v>
      </c>
      <c r="Z63" s="492">
        <f>W63+X63+Y63</f>
        <v>0</v>
      </c>
      <c r="AA63" s="492">
        <f>V63+Z63</f>
        <v>0</v>
      </c>
      <c r="AB63" s="494">
        <f>ROUND((V63+Z63)*33.8%,0)</f>
        <v>0</v>
      </c>
      <c r="AC63" s="494">
        <f>ROUND(V63*1%,0)</f>
        <v>0</v>
      </c>
      <c r="AD63" s="492">
        <v>0</v>
      </c>
      <c r="AE63" s="753">
        <f t="shared" si="35"/>
        <v>0</v>
      </c>
      <c r="AF63" s="688">
        <v>0</v>
      </c>
      <c r="AG63" s="576">
        <v>0</v>
      </c>
      <c r="AH63" s="326">
        <v>0</v>
      </c>
      <c r="AI63" s="326">
        <v>0</v>
      </c>
      <c r="AJ63" s="326">
        <v>0</v>
      </c>
      <c r="AK63" s="326">
        <v>0</v>
      </c>
      <c r="AL63" s="609">
        <f>SUM(AF63:AK63)</f>
        <v>0</v>
      </c>
      <c r="AM63" s="676">
        <f>I63+AE63</f>
        <v>489954</v>
      </c>
      <c r="AN63" s="492">
        <f>J63+V63</f>
        <v>363467</v>
      </c>
      <c r="AO63" s="573">
        <f>K63+Z63</f>
        <v>0</v>
      </c>
      <c r="AP63" s="492">
        <f t="shared" si="36"/>
        <v>122852</v>
      </c>
      <c r="AQ63" s="492">
        <f t="shared" si="36"/>
        <v>3635</v>
      </c>
      <c r="AR63" s="492">
        <f t="shared" si="36"/>
        <v>0</v>
      </c>
      <c r="AS63" s="609">
        <f>O63+AL63</f>
        <v>0.71419999999999995</v>
      </c>
      <c r="AT63" s="240"/>
    </row>
    <row r="64" spans="1:46" ht="12.95" customHeight="1" x14ac:dyDescent="0.25">
      <c r="A64" s="198">
        <v>12</v>
      </c>
      <c r="B64" s="250">
        <v>5431</v>
      </c>
      <c r="C64" s="251">
        <v>600099016</v>
      </c>
      <c r="D64" s="250">
        <v>70698112</v>
      </c>
      <c r="E64" s="274" t="s">
        <v>417</v>
      </c>
      <c r="F64" s="277"/>
      <c r="G64" s="278"/>
      <c r="H64" s="564"/>
      <c r="I64" s="647">
        <v>6522682</v>
      </c>
      <c r="J64" s="662">
        <v>4829852</v>
      </c>
      <c r="K64" s="662">
        <v>9000</v>
      </c>
      <c r="L64" s="357">
        <v>1635532</v>
      </c>
      <c r="M64" s="357">
        <v>48298</v>
      </c>
      <c r="N64" s="357">
        <v>0</v>
      </c>
      <c r="O64" s="723">
        <v>8.9312000000000005</v>
      </c>
      <c r="P64" s="443">
        <f t="shared" ref="P64:AS64" si="37">SUM(P60:P63)</f>
        <v>-6000</v>
      </c>
      <c r="Q64" s="443">
        <f t="shared" si="37"/>
        <v>148817</v>
      </c>
      <c r="R64" s="357">
        <f t="shared" si="37"/>
        <v>0</v>
      </c>
      <c r="S64" s="357">
        <f t="shared" si="37"/>
        <v>0</v>
      </c>
      <c r="T64" s="357">
        <f t="shared" si="37"/>
        <v>0</v>
      </c>
      <c r="U64" s="357">
        <f t="shared" si="37"/>
        <v>0</v>
      </c>
      <c r="V64" s="357">
        <f t="shared" si="37"/>
        <v>142817</v>
      </c>
      <c r="W64" s="357">
        <f t="shared" si="37"/>
        <v>6000</v>
      </c>
      <c r="X64" s="357">
        <f t="shared" si="37"/>
        <v>0</v>
      </c>
      <c r="Y64" s="357">
        <f t="shared" si="37"/>
        <v>0</v>
      </c>
      <c r="Z64" s="357">
        <f t="shared" si="37"/>
        <v>6000</v>
      </c>
      <c r="AA64" s="357">
        <f t="shared" si="37"/>
        <v>148817</v>
      </c>
      <c r="AB64" s="357">
        <f t="shared" si="37"/>
        <v>50300</v>
      </c>
      <c r="AC64" s="357">
        <f t="shared" si="37"/>
        <v>1428</v>
      </c>
      <c r="AD64" s="357">
        <f t="shared" si="37"/>
        <v>0</v>
      </c>
      <c r="AE64" s="666">
        <f t="shared" si="37"/>
        <v>200545</v>
      </c>
      <c r="AF64" s="803">
        <f t="shared" si="37"/>
        <v>0</v>
      </c>
      <c r="AG64" s="358">
        <f t="shared" si="37"/>
        <v>0.37</v>
      </c>
      <c r="AH64" s="358">
        <f t="shared" si="37"/>
        <v>0</v>
      </c>
      <c r="AI64" s="358">
        <f t="shared" si="37"/>
        <v>0</v>
      </c>
      <c r="AJ64" s="358">
        <f t="shared" si="37"/>
        <v>0</v>
      </c>
      <c r="AK64" s="358">
        <f t="shared" si="37"/>
        <v>0</v>
      </c>
      <c r="AL64" s="258">
        <f t="shared" si="37"/>
        <v>0.37</v>
      </c>
      <c r="AM64" s="669">
        <f t="shared" si="37"/>
        <v>6723227</v>
      </c>
      <c r="AN64" s="443">
        <f t="shared" si="37"/>
        <v>4972669</v>
      </c>
      <c r="AO64" s="357">
        <f t="shared" si="37"/>
        <v>15000</v>
      </c>
      <c r="AP64" s="357">
        <f t="shared" si="37"/>
        <v>1685832</v>
      </c>
      <c r="AQ64" s="357">
        <f t="shared" si="37"/>
        <v>49726</v>
      </c>
      <c r="AR64" s="357">
        <f t="shared" si="37"/>
        <v>0</v>
      </c>
      <c r="AS64" s="258">
        <f t="shared" si="37"/>
        <v>9.3011999999999997</v>
      </c>
      <c r="AT64" s="240"/>
    </row>
    <row r="65" spans="1:46" ht="12.95" customHeight="1" x14ac:dyDescent="0.25">
      <c r="A65" s="205">
        <v>13</v>
      </c>
      <c r="B65" s="246">
        <v>5487</v>
      </c>
      <c r="C65" s="247">
        <v>600098796</v>
      </c>
      <c r="D65" s="206">
        <v>71006753</v>
      </c>
      <c r="E65" s="273" t="s">
        <v>418</v>
      </c>
      <c r="F65" s="246">
        <v>3111</v>
      </c>
      <c r="G65" s="270" t="s">
        <v>290</v>
      </c>
      <c r="H65" s="209" t="s">
        <v>262</v>
      </c>
      <c r="I65" s="580">
        <v>1277832</v>
      </c>
      <c r="J65" s="660">
        <v>947947</v>
      </c>
      <c r="K65" s="660">
        <v>0</v>
      </c>
      <c r="L65" s="55">
        <v>320406</v>
      </c>
      <c r="M65" s="55">
        <v>9479</v>
      </c>
      <c r="N65" s="325">
        <v>0</v>
      </c>
      <c r="O65" s="719">
        <v>1.7755000000000001</v>
      </c>
      <c r="P65" s="445">
        <f>W65*-1</f>
        <v>0</v>
      </c>
      <c r="Q65" s="573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>P65+Q65+R65+S65+T65+U65</f>
        <v>0</v>
      </c>
      <c r="W65" s="325">
        <v>0</v>
      </c>
      <c r="X65" s="325">
        <v>0</v>
      </c>
      <c r="Y65" s="325">
        <v>0</v>
      </c>
      <c r="Z65" s="492">
        <f>W65+X65+Y65</f>
        <v>0</v>
      </c>
      <c r="AA65" s="492">
        <f>V65+Z65</f>
        <v>0</v>
      </c>
      <c r="AB65" s="494">
        <f>ROUND((V65+Z65)*33.8%,0)</f>
        <v>0</v>
      </c>
      <c r="AC65" s="494">
        <f>ROUND(V65*1%,0)</f>
        <v>0</v>
      </c>
      <c r="AD65" s="492">
        <v>0</v>
      </c>
      <c r="AE65" s="753">
        <f t="shared" ref="AE65:AE66" si="38">AA65+AB65+AC65+AD65</f>
        <v>0</v>
      </c>
      <c r="AF65" s="688">
        <v>0</v>
      </c>
      <c r="AG65" s="576">
        <v>0</v>
      </c>
      <c r="AH65" s="326">
        <v>0</v>
      </c>
      <c r="AI65" s="326">
        <v>0</v>
      </c>
      <c r="AJ65" s="326">
        <v>0</v>
      </c>
      <c r="AK65" s="326">
        <v>0</v>
      </c>
      <c r="AL65" s="609">
        <f>SUM(AF65:AK65)</f>
        <v>0</v>
      </c>
      <c r="AM65" s="676">
        <f>I65+AE65</f>
        <v>1277832</v>
      </c>
      <c r="AN65" s="492">
        <f>J65+V65</f>
        <v>947947</v>
      </c>
      <c r="AO65" s="573">
        <f>K65+Z65</f>
        <v>0</v>
      </c>
      <c r="AP65" s="492">
        <f t="shared" ref="AP65:AR66" si="39">L65+AB65</f>
        <v>320406</v>
      </c>
      <c r="AQ65" s="492">
        <f t="shared" si="39"/>
        <v>9479</v>
      </c>
      <c r="AR65" s="492">
        <f t="shared" si="39"/>
        <v>0</v>
      </c>
      <c r="AS65" s="609">
        <f>O65+AL65</f>
        <v>1.7755000000000001</v>
      </c>
      <c r="AT65" s="240"/>
    </row>
    <row r="66" spans="1:46" ht="12.95" customHeight="1" x14ac:dyDescent="0.25">
      <c r="A66" s="205">
        <v>13</v>
      </c>
      <c r="B66" s="246">
        <v>5487</v>
      </c>
      <c r="C66" s="247">
        <v>600098796</v>
      </c>
      <c r="D66" s="206">
        <v>71006753</v>
      </c>
      <c r="E66" s="273" t="s">
        <v>418</v>
      </c>
      <c r="F66" s="246">
        <v>3111</v>
      </c>
      <c r="G66" s="209" t="s">
        <v>278</v>
      </c>
      <c r="H66" s="209" t="s">
        <v>263</v>
      </c>
      <c r="I66" s="580">
        <v>0</v>
      </c>
      <c r="J66" s="660">
        <v>0</v>
      </c>
      <c r="K66" s="660">
        <v>0</v>
      </c>
      <c r="L66" s="55">
        <v>0</v>
      </c>
      <c r="M66" s="55">
        <v>0</v>
      </c>
      <c r="N66" s="325">
        <v>0</v>
      </c>
      <c r="O66" s="719">
        <v>0</v>
      </c>
      <c r="P66" s="440">
        <f>W66*-1</f>
        <v>0</v>
      </c>
      <c r="Q66" s="573">
        <v>0</v>
      </c>
      <c r="R66" s="325">
        <v>0</v>
      </c>
      <c r="S66" s="325">
        <v>0</v>
      </c>
      <c r="T66" s="325">
        <v>0</v>
      </c>
      <c r="U66" s="325">
        <v>0</v>
      </c>
      <c r="V66" s="492">
        <f>P66+Q66+R66+S66+T66+U66</f>
        <v>0</v>
      </c>
      <c r="W66" s="325">
        <v>0</v>
      </c>
      <c r="X66" s="325">
        <v>0</v>
      </c>
      <c r="Y66" s="325">
        <v>0</v>
      </c>
      <c r="Z66" s="492">
        <f>W66+X66+Y66</f>
        <v>0</v>
      </c>
      <c r="AA66" s="492">
        <f>V66+Z66</f>
        <v>0</v>
      </c>
      <c r="AB66" s="494">
        <f>ROUND((V66+Z66)*33.8%,0)</f>
        <v>0</v>
      </c>
      <c r="AC66" s="494">
        <f>ROUND(V66*1%,0)</f>
        <v>0</v>
      </c>
      <c r="AD66" s="492">
        <v>0</v>
      </c>
      <c r="AE66" s="753">
        <f t="shared" si="38"/>
        <v>0</v>
      </c>
      <c r="AF66" s="688">
        <v>0</v>
      </c>
      <c r="AG66" s="576">
        <v>0</v>
      </c>
      <c r="AH66" s="326">
        <v>0</v>
      </c>
      <c r="AI66" s="326">
        <v>0</v>
      </c>
      <c r="AJ66" s="326">
        <v>0</v>
      </c>
      <c r="AK66" s="326">
        <v>0</v>
      </c>
      <c r="AL66" s="609">
        <f>SUM(AF66:AK66)</f>
        <v>0</v>
      </c>
      <c r="AM66" s="676">
        <f>I66+AE66</f>
        <v>0</v>
      </c>
      <c r="AN66" s="492">
        <f>J66+V66</f>
        <v>0</v>
      </c>
      <c r="AO66" s="573">
        <f>K66+Z66</f>
        <v>0</v>
      </c>
      <c r="AP66" s="492">
        <f t="shared" si="39"/>
        <v>0</v>
      </c>
      <c r="AQ66" s="492">
        <f t="shared" si="39"/>
        <v>0</v>
      </c>
      <c r="AR66" s="492">
        <f t="shared" si="39"/>
        <v>0</v>
      </c>
      <c r="AS66" s="609">
        <f>O66+AL66</f>
        <v>0</v>
      </c>
      <c r="AT66" s="240"/>
    </row>
    <row r="67" spans="1:46" ht="12.95" customHeight="1" x14ac:dyDescent="0.25">
      <c r="A67" s="198">
        <v>13</v>
      </c>
      <c r="B67" s="250">
        <v>5487</v>
      </c>
      <c r="C67" s="251">
        <v>600098796</v>
      </c>
      <c r="D67" s="250">
        <v>71006753</v>
      </c>
      <c r="E67" s="274" t="s">
        <v>419</v>
      </c>
      <c r="F67" s="250"/>
      <c r="G67" s="275"/>
      <c r="H67" s="563"/>
      <c r="I67" s="646">
        <v>1277832</v>
      </c>
      <c r="J67" s="661">
        <v>947947</v>
      </c>
      <c r="K67" s="661">
        <v>0</v>
      </c>
      <c r="L67" s="355">
        <v>320406</v>
      </c>
      <c r="M67" s="355">
        <v>9479</v>
      </c>
      <c r="N67" s="355">
        <v>0</v>
      </c>
      <c r="O67" s="720">
        <v>1.7755000000000001</v>
      </c>
      <c r="P67" s="442">
        <f t="shared" ref="P67:AS67" si="40">SUM(P65:P66)</f>
        <v>0</v>
      </c>
      <c r="Q67" s="442">
        <f t="shared" si="40"/>
        <v>0</v>
      </c>
      <c r="R67" s="355">
        <f t="shared" si="40"/>
        <v>0</v>
      </c>
      <c r="S67" s="355">
        <f t="shared" si="40"/>
        <v>0</v>
      </c>
      <c r="T67" s="355">
        <f t="shared" si="40"/>
        <v>0</v>
      </c>
      <c r="U67" s="355">
        <f t="shared" si="40"/>
        <v>0</v>
      </c>
      <c r="V67" s="355">
        <f t="shared" si="40"/>
        <v>0</v>
      </c>
      <c r="W67" s="355">
        <f t="shared" si="40"/>
        <v>0</v>
      </c>
      <c r="X67" s="355">
        <f t="shared" si="40"/>
        <v>0</v>
      </c>
      <c r="Y67" s="355">
        <f t="shared" si="40"/>
        <v>0</v>
      </c>
      <c r="Z67" s="355">
        <f t="shared" si="40"/>
        <v>0</v>
      </c>
      <c r="AA67" s="355">
        <f t="shared" si="40"/>
        <v>0</v>
      </c>
      <c r="AB67" s="355">
        <f t="shared" si="40"/>
        <v>0</v>
      </c>
      <c r="AC67" s="355">
        <f t="shared" si="40"/>
        <v>0</v>
      </c>
      <c r="AD67" s="355">
        <f t="shared" si="40"/>
        <v>0</v>
      </c>
      <c r="AE67" s="665">
        <f t="shared" si="40"/>
        <v>0</v>
      </c>
      <c r="AF67" s="802">
        <f t="shared" si="40"/>
        <v>0</v>
      </c>
      <c r="AG67" s="356">
        <f t="shared" si="40"/>
        <v>0</v>
      </c>
      <c r="AH67" s="356">
        <f t="shared" si="40"/>
        <v>0</v>
      </c>
      <c r="AI67" s="356">
        <f t="shared" si="40"/>
        <v>0</v>
      </c>
      <c r="AJ67" s="356">
        <f t="shared" si="40"/>
        <v>0</v>
      </c>
      <c r="AK67" s="356">
        <f t="shared" si="40"/>
        <v>0</v>
      </c>
      <c r="AL67" s="253">
        <f t="shared" si="40"/>
        <v>0</v>
      </c>
      <c r="AM67" s="668">
        <f t="shared" si="40"/>
        <v>1277832</v>
      </c>
      <c r="AN67" s="442">
        <f t="shared" si="40"/>
        <v>947947</v>
      </c>
      <c r="AO67" s="355">
        <f t="shared" si="40"/>
        <v>0</v>
      </c>
      <c r="AP67" s="355">
        <f t="shared" si="40"/>
        <v>320406</v>
      </c>
      <c r="AQ67" s="355">
        <f t="shared" si="40"/>
        <v>9479</v>
      </c>
      <c r="AR67" s="355">
        <f t="shared" si="40"/>
        <v>0</v>
      </c>
      <c r="AS67" s="253">
        <f t="shared" si="40"/>
        <v>1.7755000000000001</v>
      </c>
      <c r="AT67" s="240"/>
    </row>
    <row r="68" spans="1:46" ht="12.95" customHeight="1" x14ac:dyDescent="0.25">
      <c r="A68" s="205">
        <v>14</v>
      </c>
      <c r="B68" s="246">
        <v>5436</v>
      </c>
      <c r="C68" s="247">
        <v>600098800</v>
      </c>
      <c r="D68" s="206">
        <v>72742992</v>
      </c>
      <c r="E68" s="273" t="s">
        <v>420</v>
      </c>
      <c r="F68" s="246">
        <v>3111</v>
      </c>
      <c r="G68" s="270" t="s">
        <v>290</v>
      </c>
      <c r="H68" s="209" t="s">
        <v>262</v>
      </c>
      <c r="I68" s="580">
        <v>3386167</v>
      </c>
      <c r="J68" s="660">
        <v>2511993</v>
      </c>
      <c r="K68" s="660">
        <v>0</v>
      </c>
      <c r="L68" s="55">
        <v>849054</v>
      </c>
      <c r="M68" s="55">
        <v>25120</v>
      </c>
      <c r="N68" s="325">
        <v>0</v>
      </c>
      <c r="O68" s="719">
        <v>4</v>
      </c>
      <c r="P68" s="445">
        <f>W68*-1</f>
        <v>0</v>
      </c>
      <c r="Q68" s="573">
        <v>0</v>
      </c>
      <c r="R68" s="325">
        <v>0</v>
      </c>
      <c r="S68" s="325">
        <v>0</v>
      </c>
      <c r="T68" s="325">
        <v>0</v>
      </c>
      <c r="U68" s="325">
        <v>0</v>
      </c>
      <c r="V68" s="492">
        <f>P68+Q68+R68+S68+T68+U68</f>
        <v>0</v>
      </c>
      <c r="W68" s="325">
        <v>0</v>
      </c>
      <c r="X68" s="325">
        <v>0</v>
      </c>
      <c r="Y68" s="325">
        <v>0</v>
      </c>
      <c r="Z68" s="492">
        <f>W68+X68+Y68</f>
        <v>0</v>
      </c>
      <c r="AA68" s="492">
        <f>V68+Z68</f>
        <v>0</v>
      </c>
      <c r="AB68" s="494">
        <f>ROUND((V68+Z68)*33.8%,0)</f>
        <v>0</v>
      </c>
      <c r="AC68" s="494">
        <f>ROUND(V68*1%,0)</f>
        <v>0</v>
      </c>
      <c r="AD68" s="492">
        <v>0</v>
      </c>
      <c r="AE68" s="753">
        <f t="shared" ref="AE68:AE69" si="41">AA68+AB68+AC68+AD68</f>
        <v>0</v>
      </c>
      <c r="AF68" s="688">
        <v>0</v>
      </c>
      <c r="AG68" s="576">
        <v>0</v>
      </c>
      <c r="AH68" s="326">
        <v>0</v>
      </c>
      <c r="AI68" s="326">
        <v>0</v>
      </c>
      <c r="AJ68" s="326">
        <v>0</v>
      </c>
      <c r="AK68" s="326">
        <v>0</v>
      </c>
      <c r="AL68" s="609">
        <f>SUM(AF68:AK68)</f>
        <v>0</v>
      </c>
      <c r="AM68" s="676">
        <f>I68+AE68</f>
        <v>3386167</v>
      </c>
      <c r="AN68" s="492">
        <f>J68+V68</f>
        <v>2511993</v>
      </c>
      <c r="AO68" s="573">
        <f>K68+Z68</f>
        <v>0</v>
      </c>
      <c r="AP68" s="492">
        <f t="shared" ref="AP68:AR69" si="42">L68+AB68</f>
        <v>849054</v>
      </c>
      <c r="AQ68" s="492">
        <f t="shared" si="42"/>
        <v>25120</v>
      </c>
      <c r="AR68" s="492">
        <f t="shared" si="42"/>
        <v>0</v>
      </c>
      <c r="AS68" s="609">
        <f>O68+AL68</f>
        <v>4</v>
      </c>
      <c r="AT68" s="240"/>
    </row>
    <row r="69" spans="1:46" ht="12.95" customHeight="1" x14ac:dyDescent="0.25">
      <c r="A69" s="205">
        <v>14</v>
      </c>
      <c r="B69" s="246">
        <v>5436</v>
      </c>
      <c r="C69" s="247">
        <v>600098800</v>
      </c>
      <c r="D69" s="206">
        <v>72742992</v>
      </c>
      <c r="E69" s="273" t="s">
        <v>420</v>
      </c>
      <c r="F69" s="246">
        <v>3111</v>
      </c>
      <c r="G69" s="270" t="s">
        <v>278</v>
      </c>
      <c r="H69" s="209" t="s">
        <v>263</v>
      </c>
      <c r="I69" s="580">
        <v>0</v>
      </c>
      <c r="J69" s="660">
        <v>0</v>
      </c>
      <c r="K69" s="660">
        <v>0</v>
      </c>
      <c r="L69" s="55">
        <v>0</v>
      </c>
      <c r="M69" s="55">
        <v>0</v>
      </c>
      <c r="N69" s="325">
        <v>0</v>
      </c>
      <c r="O69" s="719">
        <v>0</v>
      </c>
      <c r="P69" s="440">
        <f>W69*-1</f>
        <v>0</v>
      </c>
      <c r="Q69" s="573">
        <v>0</v>
      </c>
      <c r="R69" s="325">
        <v>0</v>
      </c>
      <c r="S69" s="325">
        <v>0</v>
      </c>
      <c r="T69" s="325">
        <v>0</v>
      </c>
      <c r="U69" s="325">
        <v>0</v>
      </c>
      <c r="V69" s="492">
        <f>P69+Q69+R69+S69+T69+U69</f>
        <v>0</v>
      </c>
      <c r="W69" s="325">
        <v>0</v>
      </c>
      <c r="X69" s="325">
        <v>0</v>
      </c>
      <c r="Y69" s="325">
        <v>0</v>
      </c>
      <c r="Z69" s="492">
        <f>W69+X69+Y69</f>
        <v>0</v>
      </c>
      <c r="AA69" s="492">
        <f>V69+Z69</f>
        <v>0</v>
      </c>
      <c r="AB69" s="494">
        <f>ROUND((V69+Z69)*33.8%,0)</f>
        <v>0</v>
      </c>
      <c r="AC69" s="494">
        <f>ROUND(V69*1%,0)</f>
        <v>0</v>
      </c>
      <c r="AD69" s="492">
        <v>0</v>
      </c>
      <c r="AE69" s="753">
        <f t="shared" si="41"/>
        <v>0</v>
      </c>
      <c r="AF69" s="688">
        <v>0</v>
      </c>
      <c r="AG69" s="576">
        <v>0</v>
      </c>
      <c r="AH69" s="326">
        <v>0</v>
      </c>
      <c r="AI69" s="326">
        <v>0</v>
      </c>
      <c r="AJ69" s="326">
        <v>0</v>
      </c>
      <c r="AK69" s="326">
        <v>0</v>
      </c>
      <c r="AL69" s="609">
        <f>SUM(AF69:AK69)</f>
        <v>0</v>
      </c>
      <c r="AM69" s="676">
        <f>I69+AE69</f>
        <v>0</v>
      </c>
      <c r="AN69" s="492">
        <f>J69+V69</f>
        <v>0</v>
      </c>
      <c r="AO69" s="573">
        <f>K69+Z69</f>
        <v>0</v>
      </c>
      <c r="AP69" s="492">
        <f t="shared" si="42"/>
        <v>0</v>
      </c>
      <c r="AQ69" s="492">
        <f t="shared" si="42"/>
        <v>0</v>
      </c>
      <c r="AR69" s="492">
        <f t="shared" si="42"/>
        <v>0</v>
      </c>
      <c r="AS69" s="609">
        <f>O69+AL69</f>
        <v>0</v>
      </c>
      <c r="AT69" s="240"/>
    </row>
    <row r="70" spans="1:46" ht="12.95" customHeight="1" x14ac:dyDescent="0.25">
      <c r="A70" s="198">
        <v>14</v>
      </c>
      <c r="B70" s="200">
        <v>5436</v>
      </c>
      <c r="C70" s="271">
        <v>600098800</v>
      </c>
      <c r="D70" s="200">
        <v>72742992</v>
      </c>
      <c r="E70" s="213" t="s">
        <v>421</v>
      </c>
      <c r="F70" s="200"/>
      <c r="G70" s="272"/>
      <c r="H70" s="562"/>
      <c r="I70" s="646">
        <v>3386167</v>
      </c>
      <c r="J70" s="661">
        <v>2511993</v>
      </c>
      <c r="K70" s="661">
        <v>0</v>
      </c>
      <c r="L70" s="355">
        <v>849054</v>
      </c>
      <c r="M70" s="355">
        <v>25120</v>
      </c>
      <c r="N70" s="355">
        <v>0</v>
      </c>
      <c r="O70" s="720">
        <v>4</v>
      </c>
      <c r="P70" s="442">
        <f t="shared" ref="P70:AS70" si="43">SUM(P68:P69)</f>
        <v>0</v>
      </c>
      <c r="Q70" s="442">
        <f t="shared" si="43"/>
        <v>0</v>
      </c>
      <c r="R70" s="355">
        <f t="shared" si="43"/>
        <v>0</v>
      </c>
      <c r="S70" s="355">
        <f t="shared" si="43"/>
        <v>0</v>
      </c>
      <c r="T70" s="355">
        <f t="shared" si="43"/>
        <v>0</v>
      </c>
      <c r="U70" s="355">
        <f t="shared" si="43"/>
        <v>0</v>
      </c>
      <c r="V70" s="355">
        <f t="shared" si="43"/>
        <v>0</v>
      </c>
      <c r="W70" s="355">
        <f t="shared" si="43"/>
        <v>0</v>
      </c>
      <c r="X70" s="355">
        <f t="shared" si="43"/>
        <v>0</v>
      </c>
      <c r="Y70" s="355">
        <f t="shared" si="43"/>
        <v>0</v>
      </c>
      <c r="Z70" s="355">
        <f t="shared" si="43"/>
        <v>0</v>
      </c>
      <c r="AA70" s="355">
        <f t="shared" si="43"/>
        <v>0</v>
      </c>
      <c r="AB70" s="355">
        <f t="shared" si="43"/>
        <v>0</v>
      </c>
      <c r="AC70" s="355">
        <f t="shared" si="43"/>
        <v>0</v>
      </c>
      <c r="AD70" s="355">
        <f t="shared" si="43"/>
        <v>0</v>
      </c>
      <c r="AE70" s="665">
        <f t="shared" si="43"/>
        <v>0</v>
      </c>
      <c r="AF70" s="802">
        <f t="shared" si="43"/>
        <v>0</v>
      </c>
      <c r="AG70" s="356">
        <f t="shared" si="43"/>
        <v>0</v>
      </c>
      <c r="AH70" s="356">
        <f t="shared" si="43"/>
        <v>0</v>
      </c>
      <c r="AI70" s="356">
        <f t="shared" si="43"/>
        <v>0</v>
      </c>
      <c r="AJ70" s="356">
        <f t="shared" si="43"/>
        <v>0</v>
      </c>
      <c r="AK70" s="356">
        <f t="shared" si="43"/>
        <v>0</v>
      </c>
      <c r="AL70" s="253">
        <f t="shared" si="43"/>
        <v>0</v>
      </c>
      <c r="AM70" s="668">
        <f t="shared" si="43"/>
        <v>3386167</v>
      </c>
      <c r="AN70" s="442">
        <f t="shared" si="43"/>
        <v>2511993</v>
      </c>
      <c r="AO70" s="355">
        <f t="shared" si="43"/>
        <v>0</v>
      </c>
      <c r="AP70" s="355">
        <f t="shared" si="43"/>
        <v>849054</v>
      </c>
      <c r="AQ70" s="355">
        <f t="shared" si="43"/>
        <v>25120</v>
      </c>
      <c r="AR70" s="355">
        <f t="shared" si="43"/>
        <v>0</v>
      </c>
      <c r="AS70" s="253">
        <f t="shared" si="43"/>
        <v>4</v>
      </c>
      <c r="AT70" s="240"/>
    </row>
    <row r="71" spans="1:46" ht="12.95" customHeight="1" x14ac:dyDescent="0.25">
      <c r="A71" s="205">
        <v>15</v>
      </c>
      <c r="B71" s="246">
        <v>5435</v>
      </c>
      <c r="C71" s="247">
        <v>600099199</v>
      </c>
      <c r="D71" s="206">
        <v>72743077</v>
      </c>
      <c r="E71" s="273" t="s">
        <v>422</v>
      </c>
      <c r="F71" s="246">
        <v>3113</v>
      </c>
      <c r="G71" s="270" t="s">
        <v>294</v>
      </c>
      <c r="H71" s="209" t="s">
        <v>262</v>
      </c>
      <c r="I71" s="580">
        <v>9764007</v>
      </c>
      <c r="J71" s="660">
        <v>7187347</v>
      </c>
      <c r="K71" s="660">
        <v>56400</v>
      </c>
      <c r="L71" s="55">
        <v>2448386</v>
      </c>
      <c r="M71" s="55">
        <v>71874</v>
      </c>
      <c r="N71" s="325">
        <v>0</v>
      </c>
      <c r="O71" s="719">
        <v>10.2018</v>
      </c>
      <c r="P71" s="445">
        <f>W71*-1</f>
        <v>-37600</v>
      </c>
      <c r="Q71" s="573">
        <v>0</v>
      </c>
      <c r="R71" s="325">
        <v>0</v>
      </c>
      <c r="S71" s="325">
        <v>0</v>
      </c>
      <c r="T71" s="325">
        <v>0</v>
      </c>
      <c r="U71" s="325">
        <v>0</v>
      </c>
      <c r="V71" s="492">
        <f>P71+Q71+R71+S71+T71+U71</f>
        <v>-37600</v>
      </c>
      <c r="W71" s="325">
        <v>37600</v>
      </c>
      <c r="X71" s="325">
        <v>0</v>
      </c>
      <c r="Y71" s="325">
        <v>0</v>
      </c>
      <c r="Z71" s="492">
        <f>W71+X71+Y71</f>
        <v>37600</v>
      </c>
      <c r="AA71" s="492">
        <f>V71+Z71</f>
        <v>0</v>
      </c>
      <c r="AB71" s="494">
        <f>ROUND((V71+Z71)*33.8%,0)</f>
        <v>0</v>
      </c>
      <c r="AC71" s="494">
        <f>ROUND(V71*1%,0)</f>
        <v>-376</v>
      </c>
      <c r="AD71" s="492">
        <v>0</v>
      </c>
      <c r="AE71" s="753">
        <f t="shared" ref="AE71:AE73" si="44">AA71+AB71+AC71+AD71</f>
        <v>-376</v>
      </c>
      <c r="AF71" s="688">
        <v>-9.9999999999999985E-3</v>
      </c>
      <c r="AG71" s="576">
        <v>0</v>
      </c>
      <c r="AH71" s="326">
        <v>0</v>
      </c>
      <c r="AI71" s="326">
        <v>0</v>
      </c>
      <c r="AJ71" s="326">
        <v>0</v>
      </c>
      <c r="AK71" s="326">
        <v>0</v>
      </c>
      <c r="AL71" s="609">
        <f>SUM(AF71:AK71)</f>
        <v>-9.9999999999999985E-3</v>
      </c>
      <c r="AM71" s="676">
        <f>I71+AE71</f>
        <v>9763631</v>
      </c>
      <c r="AN71" s="492">
        <f>J71+V71</f>
        <v>7149747</v>
      </c>
      <c r="AO71" s="573">
        <f>K71+Z71</f>
        <v>94000</v>
      </c>
      <c r="AP71" s="492">
        <f t="shared" ref="AP71:AR73" si="45">L71+AB71</f>
        <v>2448386</v>
      </c>
      <c r="AQ71" s="492">
        <f t="shared" si="45"/>
        <v>71498</v>
      </c>
      <c r="AR71" s="492">
        <f t="shared" si="45"/>
        <v>0</v>
      </c>
      <c r="AS71" s="609">
        <f>O71+AL71</f>
        <v>10.191800000000001</v>
      </c>
      <c r="AT71" s="240"/>
    </row>
    <row r="72" spans="1:46" ht="12.95" customHeight="1" x14ac:dyDescent="0.25">
      <c r="A72" s="205">
        <v>15</v>
      </c>
      <c r="B72" s="246">
        <v>5435</v>
      </c>
      <c r="C72" s="247">
        <v>600099199</v>
      </c>
      <c r="D72" s="206">
        <v>72743077</v>
      </c>
      <c r="E72" s="273" t="s">
        <v>422</v>
      </c>
      <c r="F72" s="246">
        <v>3113</v>
      </c>
      <c r="G72" s="209" t="s">
        <v>278</v>
      </c>
      <c r="H72" s="209" t="s">
        <v>263</v>
      </c>
      <c r="I72" s="580">
        <v>668689</v>
      </c>
      <c r="J72" s="660">
        <v>496060</v>
      </c>
      <c r="K72" s="660">
        <v>0</v>
      </c>
      <c r="L72" s="55">
        <v>167668</v>
      </c>
      <c r="M72" s="55">
        <v>4961</v>
      </c>
      <c r="N72" s="325">
        <v>0</v>
      </c>
      <c r="O72" s="719">
        <v>1.25</v>
      </c>
      <c r="P72" s="440">
        <f>W72*-1</f>
        <v>0</v>
      </c>
      <c r="Q72" s="573">
        <v>0</v>
      </c>
      <c r="R72" s="325">
        <v>0</v>
      </c>
      <c r="S72" s="325">
        <v>0</v>
      </c>
      <c r="T72" s="325">
        <v>0</v>
      </c>
      <c r="U72" s="325">
        <v>0</v>
      </c>
      <c r="V72" s="492">
        <f>P72+Q72+R72+S72+T72+U72</f>
        <v>0</v>
      </c>
      <c r="W72" s="325">
        <v>0</v>
      </c>
      <c r="X72" s="325">
        <v>0</v>
      </c>
      <c r="Y72" s="325">
        <v>0</v>
      </c>
      <c r="Z72" s="492">
        <f>W72+X72+Y72</f>
        <v>0</v>
      </c>
      <c r="AA72" s="492">
        <f>V72+Z72</f>
        <v>0</v>
      </c>
      <c r="AB72" s="494">
        <f>ROUND((V72+Z72)*33.8%,0)</f>
        <v>0</v>
      </c>
      <c r="AC72" s="494">
        <f>ROUND(V72*1%,0)</f>
        <v>0</v>
      </c>
      <c r="AD72" s="492">
        <v>0</v>
      </c>
      <c r="AE72" s="753">
        <f t="shared" si="44"/>
        <v>0</v>
      </c>
      <c r="AF72" s="688">
        <v>0</v>
      </c>
      <c r="AG72" s="576">
        <v>0</v>
      </c>
      <c r="AH72" s="326">
        <v>0</v>
      </c>
      <c r="AI72" s="326">
        <v>0</v>
      </c>
      <c r="AJ72" s="326">
        <v>0</v>
      </c>
      <c r="AK72" s="326">
        <v>0</v>
      </c>
      <c r="AL72" s="609">
        <f>SUM(AF72:AK72)</f>
        <v>0</v>
      </c>
      <c r="AM72" s="676">
        <f>I72+AE72</f>
        <v>668689</v>
      </c>
      <c r="AN72" s="492">
        <f>J72+V72</f>
        <v>496060</v>
      </c>
      <c r="AO72" s="573">
        <f>K72+Z72</f>
        <v>0</v>
      </c>
      <c r="AP72" s="492">
        <f t="shared" si="45"/>
        <v>167668</v>
      </c>
      <c r="AQ72" s="492">
        <f t="shared" si="45"/>
        <v>4961</v>
      </c>
      <c r="AR72" s="492">
        <f t="shared" si="45"/>
        <v>0</v>
      </c>
      <c r="AS72" s="609">
        <f>O72+AL72</f>
        <v>1.25</v>
      </c>
      <c r="AT72" s="240"/>
    </row>
    <row r="73" spans="1:46" ht="12.95" customHeight="1" x14ac:dyDescent="0.25">
      <c r="A73" s="205">
        <v>15</v>
      </c>
      <c r="B73" s="246">
        <v>5435</v>
      </c>
      <c r="C73" s="247">
        <v>600099199</v>
      </c>
      <c r="D73" s="206">
        <v>72743077</v>
      </c>
      <c r="E73" s="273" t="s">
        <v>422</v>
      </c>
      <c r="F73" s="246">
        <v>3143</v>
      </c>
      <c r="G73" s="209" t="s">
        <v>795</v>
      </c>
      <c r="H73" s="209" t="s">
        <v>262</v>
      </c>
      <c r="I73" s="580">
        <v>702855</v>
      </c>
      <c r="J73" s="660">
        <v>518428</v>
      </c>
      <c r="K73" s="660">
        <v>3000</v>
      </c>
      <c r="L73" s="55">
        <v>176243</v>
      </c>
      <c r="M73" s="55">
        <v>5184</v>
      </c>
      <c r="N73" s="325">
        <v>0</v>
      </c>
      <c r="O73" s="719">
        <v>0.96430000000000005</v>
      </c>
      <c r="P73" s="440">
        <f>W73*-1</f>
        <v>-2000</v>
      </c>
      <c r="Q73" s="573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>P73+Q73+R73+S73+T73+U73</f>
        <v>-2000</v>
      </c>
      <c r="W73" s="325">
        <v>2000</v>
      </c>
      <c r="X73" s="325">
        <v>0</v>
      </c>
      <c r="Y73" s="325">
        <v>0</v>
      </c>
      <c r="Z73" s="492">
        <f>W73+X73+Y73</f>
        <v>2000</v>
      </c>
      <c r="AA73" s="492">
        <f>V73+Z73</f>
        <v>0</v>
      </c>
      <c r="AB73" s="494">
        <f>ROUND((V73+Z73)*33.8%,0)</f>
        <v>0</v>
      </c>
      <c r="AC73" s="494">
        <f>ROUND(V73*1%,0)</f>
        <v>-20</v>
      </c>
      <c r="AD73" s="492">
        <v>0</v>
      </c>
      <c r="AE73" s="753">
        <f t="shared" si="44"/>
        <v>-20</v>
      </c>
      <c r="AF73" s="688">
        <v>0</v>
      </c>
      <c r="AG73" s="576">
        <v>0</v>
      </c>
      <c r="AH73" s="326">
        <v>0</v>
      </c>
      <c r="AI73" s="326">
        <v>0</v>
      </c>
      <c r="AJ73" s="326">
        <v>0</v>
      </c>
      <c r="AK73" s="326">
        <v>0</v>
      </c>
      <c r="AL73" s="609">
        <f>SUM(AF73:AK73)</f>
        <v>0</v>
      </c>
      <c r="AM73" s="676">
        <f>I73+AE73</f>
        <v>702835</v>
      </c>
      <c r="AN73" s="492">
        <f>J73+V73</f>
        <v>516428</v>
      </c>
      <c r="AO73" s="573">
        <f>K73+Z73</f>
        <v>5000</v>
      </c>
      <c r="AP73" s="492">
        <f t="shared" si="45"/>
        <v>176243</v>
      </c>
      <c r="AQ73" s="492">
        <f t="shared" si="45"/>
        <v>5164</v>
      </c>
      <c r="AR73" s="492">
        <f t="shared" si="45"/>
        <v>0</v>
      </c>
      <c r="AS73" s="609">
        <f>O73+AL73</f>
        <v>0.96430000000000005</v>
      </c>
      <c r="AT73" s="240"/>
    </row>
    <row r="74" spans="1:46" ht="12.95" customHeight="1" x14ac:dyDescent="0.25">
      <c r="A74" s="198">
        <v>15</v>
      </c>
      <c r="B74" s="250">
        <v>5435</v>
      </c>
      <c r="C74" s="251">
        <v>600099199</v>
      </c>
      <c r="D74" s="250">
        <v>72743077</v>
      </c>
      <c r="E74" s="274" t="s">
        <v>423</v>
      </c>
      <c r="F74" s="250"/>
      <c r="G74" s="275"/>
      <c r="H74" s="563"/>
      <c r="I74" s="646">
        <v>11135551</v>
      </c>
      <c r="J74" s="661">
        <v>8201835</v>
      </c>
      <c r="K74" s="661">
        <v>59400</v>
      </c>
      <c r="L74" s="355">
        <v>2792297</v>
      </c>
      <c r="M74" s="355">
        <v>82019</v>
      </c>
      <c r="N74" s="355">
        <v>0</v>
      </c>
      <c r="O74" s="720">
        <v>12.4161</v>
      </c>
      <c r="P74" s="442">
        <f t="shared" ref="P74:AS74" si="46">SUM(P71:P73)</f>
        <v>-39600</v>
      </c>
      <c r="Q74" s="442">
        <f t="shared" si="46"/>
        <v>0</v>
      </c>
      <c r="R74" s="355">
        <f t="shared" si="46"/>
        <v>0</v>
      </c>
      <c r="S74" s="355">
        <f t="shared" si="46"/>
        <v>0</v>
      </c>
      <c r="T74" s="355">
        <f t="shared" si="46"/>
        <v>0</v>
      </c>
      <c r="U74" s="355">
        <f t="shared" si="46"/>
        <v>0</v>
      </c>
      <c r="V74" s="355">
        <f t="shared" si="46"/>
        <v>-39600</v>
      </c>
      <c r="W74" s="355">
        <f t="shared" si="46"/>
        <v>39600</v>
      </c>
      <c r="X74" s="355">
        <f t="shared" si="46"/>
        <v>0</v>
      </c>
      <c r="Y74" s="355">
        <f t="shared" si="46"/>
        <v>0</v>
      </c>
      <c r="Z74" s="355">
        <f t="shared" si="46"/>
        <v>39600</v>
      </c>
      <c r="AA74" s="355">
        <f t="shared" si="46"/>
        <v>0</v>
      </c>
      <c r="AB74" s="355">
        <f t="shared" si="46"/>
        <v>0</v>
      </c>
      <c r="AC74" s="355">
        <f t="shared" si="46"/>
        <v>-396</v>
      </c>
      <c r="AD74" s="355">
        <f t="shared" si="46"/>
        <v>0</v>
      </c>
      <c r="AE74" s="665">
        <f t="shared" si="46"/>
        <v>-396</v>
      </c>
      <c r="AF74" s="802">
        <f t="shared" si="46"/>
        <v>-9.9999999999999985E-3</v>
      </c>
      <c r="AG74" s="356">
        <f t="shared" si="46"/>
        <v>0</v>
      </c>
      <c r="AH74" s="356">
        <f t="shared" si="46"/>
        <v>0</v>
      </c>
      <c r="AI74" s="356">
        <f t="shared" si="46"/>
        <v>0</v>
      </c>
      <c r="AJ74" s="356">
        <f t="shared" si="46"/>
        <v>0</v>
      </c>
      <c r="AK74" s="356">
        <f t="shared" si="46"/>
        <v>0</v>
      </c>
      <c r="AL74" s="253">
        <f t="shared" si="46"/>
        <v>-9.9999999999999985E-3</v>
      </c>
      <c r="AM74" s="668">
        <f t="shared" si="46"/>
        <v>11135155</v>
      </c>
      <c r="AN74" s="442">
        <f t="shared" si="46"/>
        <v>8162235</v>
      </c>
      <c r="AO74" s="355">
        <f t="shared" si="46"/>
        <v>99000</v>
      </c>
      <c r="AP74" s="355">
        <f t="shared" si="46"/>
        <v>2792297</v>
      </c>
      <c r="AQ74" s="355">
        <f t="shared" si="46"/>
        <v>81623</v>
      </c>
      <c r="AR74" s="355">
        <f t="shared" si="46"/>
        <v>0</v>
      </c>
      <c r="AS74" s="253">
        <f t="shared" si="46"/>
        <v>12.4061</v>
      </c>
      <c r="AT74" s="240"/>
    </row>
    <row r="75" spans="1:46" ht="12.95" customHeight="1" x14ac:dyDescent="0.25">
      <c r="A75" s="205">
        <v>16</v>
      </c>
      <c r="B75" s="246">
        <v>5478</v>
      </c>
      <c r="C75" s="247">
        <v>600098818</v>
      </c>
      <c r="D75" s="206">
        <v>70698031</v>
      </c>
      <c r="E75" s="439" t="s">
        <v>424</v>
      </c>
      <c r="F75" s="246">
        <v>3111</v>
      </c>
      <c r="G75" s="270" t="s">
        <v>290</v>
      </c>
      <c r="H75" s="209" t="s">
        <v>262</v>
      </c>
      <c r="I75" s="580">
        <v>7403546</v>
      </c>
      <c r="J75" s="660">
        <v>5492245</v>
      </c>
      <c r="K75" s="660">
        <v>0</v>
      </c>
      <c r="L75" s="55">
        <v>1856379</v>
      </c>
      <c r="M75" s="55">
        <v>54922</v>
      </c>
      <c r="N75" s="325">
        <v>0</v>
      </c>
      <c r="O75" s="719">
        <v>9.6754999999999995</v>
      </c>
      <c r="P75" s="445">
        <f>W75*-1</f>
        <v>0</v>
      </c>
      <c r="Q75" s="573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>P75+Q75+R75+S75+T75+U75</f>
        <v>0</v>
      </c>
      <c r="W75" s="325">
        <v>0</v>
      </c>
      <c r="X75" s="325">
        <v>0</v>
      </c>
      <c r="Y75" s="325">
        <v>0</v>
      </c>
      <c r="Z75" s="492">
        <f>W75+X75+Y75</f>
        <v>0</v>
      </c>
      <c r="AA75" s="492">
        <f>V75+Z75</f>
        <v>0</v>
      </c>
      <c r="AB75" s="494">
        <f>ROUND((V75+Z75)*33.8%,0)</f>
        <v>0</v>
      </c>
      <c r="AC75" s="494">
        <f>ROUND(V75*1%,0)</f>
        <v>0</v>
      </c>
      <c r="AD75" s="492">
        <v>0</v>
      </c>
      <c r="AE75" s="753">
        <f t="shared" ref="AE75:AE76" si="47">AA75+AB75+AC75+AD75</f>
        <v>0</v>
      </c>
      <c r="AF75" s="688">
        <v>0</v>
      </c>
      <c r="AG75" s="576">
        <v>0</v>
      </c>
      <c r="AH75" s="326">
        <v>0</v>
      </c>
      <c r="AI75" s="326">
        <v>0</v>
      </c>
      <c r="AJ75" s="326">
        <v>0</v>
      </c>
      <c r="AK75" s="326">
        <v>0</v>
      </c>
      <c r="AL75" s="609">
        <f>SUM(AF75:AK75)</f>
        <v>0</v>
      </c>
      <c r="AM75" s="676">
        <f>I75+AE75</f>
        <v>7403546</v>
      </c>
      <c r="AN75" s="492">
        <f>J75+V75</f>
        <v>5492245</v>
      </c>
      <c r="AO75" s="573">
        <f>K75+Z75</f>
        <v>0</v>
      </c>
      <c r="AP75" s="492">
        <f t="shared" ref="AP75:AR76" si="48">L75+AB75</f>
        <v>1856379</v>
      </c>
      <c r="AQ75" s="492">
        <f t="shared" si="48"/>
        <v>54922</v>
      </c>
      <c r="AR75" s="492">
        <f t="shared" si="48"/>
        <v>0</v>
      </c>
      <c r="AS75" s="609">
        <f>O75+AL75</f>
        <v>9.6754999999999995</v>
      </c>
      <c r="AT75" s="240"/>
    </row>
    <row r="76" spans="1:46" ht="12.95" customHeight="1" x14ac:dyDescent="0.25">
      <c r="A76" s="205">
        <v>16</v>
      </c>
      <c r="B76" s="246">
        <v>5478</v>
      </c>
      <c r="C76" s="247">
        <v>600098818</v>
      </c>
      <c r="D76" s="206">
        <v>70698031</v>
      </c>
      <c r="E76" s="439" t="s">
        <v>424</v>
      </c>
      <c r="F76" s="246">
        <v>3111</v>
      </c>
      <c r="G76" s="270" t="s">
        <v>278</v>
      </c>
      <c r="H76" s="209" t="s">
        <v>263</v>
      </c>
      <c r="I76" s="580">
        <v>208042</v>
      </c>
      <c r="J76" s="660">
        <v>154334</v>
      </c>
      <c r="K76" s="660">
        <v>0</v>
      </c>
      <c r="L76" s="55">
        <v>52165</v>
      </c>
      <c r="M76" s="55">
        <v>1543</v>
      </c>
      <c r="N76" s="325">
        <v>0</v>
      </c>
      <c r="O76" s="719">
        <v>0.39</v>
      </c>
      <c r="P76" s="440">
        <f>W76*-1</f>
        <v>0</v>
      </c>
      <c r="Q76" s="573">
        <v>0</v>
      </c>
      <c r="R76" s="325">
        <v>0</v>
      </c>
      <c r="S76" s="325">
        <v>0</v>
      </c>
      <c r="T76" s="325">
        <v>0</v>
      </c>
      <c r="U76" s="325">
        <v>0</v>
      </c>
      <c r="V76" s="492">
        <f>P76+Q76+R76+S76+T76+U76</f>
        <v>0</v>
      </c>
      <c r="W76" s="325">
        <v>0</v>
      </c>
      <c r="X76" s="325">
        <v>0</v>
      </c>
      <c r="Y76" s="325">
        <v>0</v>
      </c>
      <c r="Z76" s="492">
        <f>W76+X76+Y76</f>
        <v>0</v>
      </c>
      <c r="AA76" s="492">
        <f>V76+Z76</f>
        <v>0</v>
      </c>
      <c r="AB76" s="494">
        <f>ROUND((V76+Z76)*33.8%,0)</f>
        <v>0</v>
      </c>
      <c r="AC76" s="494">
        <f>ROUND(V76*1%,0)</f>
        <v>0</v>
      </c>
      <c r="AD76" s="492">
        <v>0</v>
      </c>
      <c r="AE76" s="753">
        <f t="shared" si="47"/>
        <v>0</v>
      </c>
      <c r="AF76" s="688">
        <v>0</v>
      </c>
      <c r="AG76" s="576">
        <v>0</v>
      </c>
      <c r="AH76" s="326">
        <v>0</v>
      </c>
      <c r="AI76" s="326">
        <v>0</v>
      </c>
      <c r="AJ76" s="326">
        <v>0</v>
      </c>
      <c r="AK76" s="326">
        <v>0</v>
      </c>
      <c r="AL76" s="609">
        <f>SUM(AF76:AK76)</f>
        <v>0</v>
      </c>
      <c r="AM76" s="676">
        <f>I76+AE76</f>
        <v>208042</v>
      </c>
      <c r="AN76" s="492">
        <f>J76+V76</f>
        <v>154334</v>
      </c>
      <c r="AO76" s="573">
        <f>K76+Z76</f>
        <v>0</v>
      </c>
      <c r="AP76" s="492">
        <f t="shared" si="48"/>
        <v>52165</v>
      </c>
      <c r="AQ76" s="492">
        <f t="shared" si="48"/>
        <v>1543</v>
      </c>
      <c r="AR76" s="492">
        <f t="shared" si="48"/>
        <v>0</v>
      </c>
      <c r="AS76" s="609">
        <f>O76+AL76</f>
        <v>0.39</v>
      </c>
      <c r="AT76" s="240"/>
    </row>
    <row r="77" spans="1:46" ht="12.95" customHeight="1" x14ac:dyDescent="0.25">
      <c r="A77" s="198">
        <v>16</v>
      </c>
      <c r="B77" s="200">
        <v>5478</v>
      </c>
      <c r="C77" s="271">
        <v>600098818</v>
      </c>
      <c r="D77" s="200">
        <v>70698031</v>
      </c>
      <c r="E77" s="213" t="s">
        <v>425</v>
      </c>
      <c r="F77" s="200"/>
      <c r="G77" s="272"/>
      <c r="H77" s="562"/>
      <c r="I77" s="647">
        <v>7611588</v>
      </c>
      <c r="J77" s="662">
        <v>5646579</v>
      </c>
      <c r="K77" s="662">
        <v>0</v>
      </c>
      <c r="L77" s="357">
        <v>1908544</v>
      </c>
      <c r="M77" s="357">
        <v>56465</v>
      </c>
      <c r="N77" s="357">
        <v>0</v>
      </c>
      <c r="O77" s="723">
        <v>10.0655</v>
      </c>
      <c r="P77" s="443">
        <f t="shared" ref="P77:AS77" si="49">SUM(P75:P76)</f>
        <v>0</v>
      </c>
      <c r="Q77" s="443">
        <f t="shared" si="49"/>
        <v>0</v>
      </c>
      <c r="R77" s="357">
        <f t="shared" si="49"/>
        <v>0</v>
      </c>
      <c r="S77" s="357">
        <f t="shared" si="49"/>
        <v>0</v>
      </c>
      <c r="T77" s="357">
        <f t="shared" si="49"/>
        <v>0</v>
      </c>
      <c r="U77" s="357">
        <f t="shared" si="49"/>
        <v>0</v>
      </c>
      <c r="V77" s="357">
        <f t="shared" si="49"/>
        <v>0</v>
      </c>
      <c r="W77" s="357">
        <f t="shared" si="49"/>
        <v>0</v>
      </c>
      <c r="X77" s="357">
        <f t="shared" si="49"/>
        <v>0</v>
      </c>
      <c r="Y77" s="357">
        <f t="shared" si="49"/>
        <v>0</v>
      </c>
      <c r="Z77" s="357">
        <f t="shared" si="49"/>
        <v>0</v>
      </c>
      <c r="AA77" s="357">
        <f t="shared" si="49"/>
        <v>0</v>
      </c>
      <c r="AB77" s="357">
        <f t="shared" si="49"/>
        <v>0</v>
      </c>
      <c r="AC77" s="357">
        <f t="shared" si="49"/>
        <v>0</v>
      </c>
      <c r="AD77" s="357">
        <f t="shared" si="49"/>
        <v>0</v>
      </c>
      <c r="AE77" s="666">
        <f t="shared" si="49"/>
        <v>0</v>
      </c>
      <c r="AF77" s="803">
        <f t="shared" si="49"/>
        <v>0</v>
      </c>
      <c r="AG77" s="358">
        <f t="shared" si="49"/>
        <v>0</v>
      </c>
      <c r="AH77" s="358">
        <f t="shared" si="49"/>
        <v>0</v>
      </c>
      <c r="AI77" s="358">
        <f t="shared" si="49"/>
        <v>0</v>
      </c>
      <c r="AJ77" s="358">
        <f t="shared" si="49"/>
        <v>0</v>
      </c>
      <c r="AK77" s="358">
        <f t="shared" si="49"/>
        <v>0</v>
      </c>
      <c r="AL77" s="258">
        <f t="shared" si="49"/>
        <v>0</v>
      </c>
      <c r="AM77" s="669">
        <f t="shared" si="49"/>
        <v>7611588</v>
      </c>
      <c r="AN77" s="443">
        <f t="shared" si="49"/>
        <v>5646579</v>
      </c>
      <c r="AO77" s="357">
        <f t="shared" si="49"/>
        <v>0</v>
      </c>
      <c r="AP77" s="357">
        <f t="shared" si="49"/>
        <v>1908544</v>
      </c>
      <c r="AQ77" s="357">
        <f t="shared" si="49"/>
        <v>56465</v>
      </c>
      <c r="AR77" s="357">
        <f t="shared" si="49"/>
        <v>0</v>
      </c>
      <c r="AS77" s="258">
        <f t="shared" si="49"/>
        <v>10.0655</v>
      </c>
      <c r="AT77" s="240"/>
    </row>
    <row r="78" spans="1:46" ht="12.95" customHeight="1" x14ac:dyDescent="0.25">
      <c r="A78" s="205">
        <v>17</v>
      </c>
      <c r="B78" s="246">
        <v>5479</v>
      </c>
      <c r="C78" s="247">
        <v>600099105</v>
      </c>
      <c r="D78" s="206">
        <v>70910600</v>
      </c>
      <c r="E78" s="388" t="s">
        <v>769</v>
      </c>
      <c r="F78" s="246">
        <v>3113</v>
      </c>
      <c r="G78" s="270" t="s">
        <v>294</v>
      </c>
      <c r="H78" s="209" t="s">
        <v>262</v>
      </c>
      <c r="I78" s="580">
        <v>16127124</v>
      </c>
      <c r="J78" s="660">
        <v>11963741</v>
      </c>
      <c r="K78" s="660">
        <v>0</v>
      </c>
      <c r="L78" s="55">
        <v>4043745</v>
      </c>
      <c r="M78" s="55">
        <v>119638</v>
      </c>
      <c r="N78" s="325">
        <v>0</v>
      </c>
      <c r="O78" s="719">
        <v>15.6815</v>
      </c>
      <c r="P78" s="445">
        <f t="shared" ref="P78:P82" si="50">W78*-1</f>
        <v>0</v>
      </c>
      <c r="Q78" s="573">
        <v>0</v>
      </c>
      <c r="R78" s="325">
        <v>0</v>
      </c>
      <c r="S78" s="325">
        <v>0</v>
      </c>
      <c r="T78" s="325">
        <v>0</v>
      </c>
      <c r="U78" s="325">
        <v>0</v>
      </c>
      <c r="V78" s="492">
        <f>P78+Q78+R78+S78+T78+U78</f>
        <v>0</v>
      </c>
      <c r="W78" s="325">
        <v>0</v>
      </c>
      <c r="X78" s="325">
        <v>0</v>
      </c>
      <c r="Y78" s="325">
        <v>0</v>
      </c>
      <c r="Z78" s="492">
        <f>W78+X78+Y78</f>
        <v>0</v>
      </c>
      <c r="AA78" s="492">
        <f>V78+Z78</f>
        <v>0</v>
      </c>
      <c r="AB78" s="494">
        <f>ROUND((V78+Z78)*33.8%,0)</f>
        <v>0</v>
      </c>
      <c r="AC78" s="494">
        <f>ROUND(V78*1%,0)</f>
        <v>0</v>
      </c>
      <c r="AD78" s="492">
        <v>0</v>
      </c>
      <c r="AE78" s="753">
        <f t="shared" ref="AE78:AE82" si="51">AA78+AB78+AC78+AD78</f>
        <v>0</v>
      </c>
      <c r="AF78" s="688">
        <v>0</v>
      </c>
      <c r="AG78" s="576">
        <v>0</v>
      </c>
      <c r="AH78" s="326">
        <v>0</v>
      </c>
      <c r="AI78" s="326">
        <v>0</v>
      </c>
      <c r="AJ78" s="326">
        <v>0</v>
      </c>
      <c r="AK78" s="326">
        <v>0</v>
      </c>
      <c r="AL78" s="609">
        <f>SUM(AF78:AK78)</f>
        <v>0</v>
      </c>
      <c r="AM78" s="676">
        <f>I78+AE78</f>
        <v>16127124</v>
      </c>
      <c r="AN78" s="492">
        <f>J78+V78</f>
        <v>11963741</v>
      </c>
      <c r="AO78" s="573">
        <f>K78+Z78</f>
        <v>0</v>
      </c>
      <c r="AP78" s="492">
        <f t="shared" ref="AP78:AR82" si="52">L78+AB78</f>
        <v>4043745</v>
      </c>
      <c r="AQ78" s="492">
        <f t="shared" si="52"/>
        <v>119638</v>
      </c>
      <c r="AR78" s="492">
        <f t="shared" si="52"/>
        <v>0</v>
      </c>
      <c r="AS78" s="609">
        <f>O78+AL78</f>
        <v>15.6815</v>
      </c>
      <c r="AT78" s="240"/>
    </row>
    <row r="79" spans="1:46" ht="12.95" customHeight="1" x14ac:dyDescent="0.25">
      <c r="A79" s="205">
        <v>17</v>
      </c>
      <c r="B79" s="246">
        <v>5479</v>
      </c>
      <c r="C79" s="247">
        <v>600099105</v>
      </c>
      <c r="D79" s="206">
        <v>70910600</v>
      </c>
      <c r="E79" s="388" t="s">
        <v>769</v>
      </c>
      <c r="F79" s="246">
        <v>3113</v>
      </c>
      <c r="G79" s="211" t="s">
        <v>279</v>
      </c>
      <c r="H79" s="209" t="s">
        <v>262</v>
      </c>
      <c r="I79" s="580">
        <v>516966</v>
      </c>
      <c r="J79" s="660">
        <v>383506</v>
      </c>
      <c r="K79" s="660">
        <v>0</v>
      </c>
      <c r="L79" s="55">
        <v>129625</v>
      </c>
      <c r="M79" s="55">
        <v>3835</v>
      </c>
      <c r="N79" s="325">
        <v>0</v>
      </c>
      <c r="O79" s="719">
        <v>0.80559999999999998</v>
      </c>
      <c r="P79" s="440">
        <f t="shared" si="50"/>
        <v>0</v>
      </c>
      <c r="Q79" s="573">
        <v>0</v>
      </c>
      <c r="R79" s="325">
        <v>0</v>
      </c>
      <c r="S79" s="325">
        <v>0</v>
      </c>
      <c r="T79" s="325">
        <v>0</v>
      </c>
      <c r="U79" s="325">
        <v>0</v>
      </c>
      <c r="V79" s="492">
        <f>P79+Q79+R79+S79+T79+U79</f>
        <v>0</v>
      </c>
      <c r="W79" s="325">
        <v>0</v>
      </c>
      <c r="X79" s="325">
        <v>0</v>
      </c>
      <c r="Y79" s="325">
        <v>0</v>
      </c>
      <c r="Z79" s="492">
        <f>W79+X79+Y79</f>
        <v>0</v>
      </c>
      <c r="AA79" s="492">
        <f>V79+Z79</f>
        <v>0</v>
      </c>
      <c r="AB79" s="494">
        <f>ROUND((V79+Z79)*33.8%,0)</f>
        <v>0</v>
      </c>
      <c r="AC79" s="494">
        <f>ROUND(V79*1%,0)</f>
        <v>0</v>
      </c>
      <c r="AD79" s="492">
        <v>0</v>
      </c>
      <c r="AE79" s="753">
        <f t="shared" si="51"/>
        <v>0</v>
      </c>
      <c r="AF79" s="688">
        <v>0</v>
      </c>
      <c r="AG79" s="576">
        <v>0</v>
      </c>
      <c r="AH79" s="326">
        <v>0</v>
      </c>
      <c r="AI79" s="326">
        <v>0</v>
      </c>
      <c r="AJ79" s="326">
        <v>0</v>
      </c>
      <c r="AK79" s="326">
        <v>0</v>
      </c>
      <c r="AL79" s="609">
        <f>SUM(AF79:AK79)</f>
        <v>0</v>
      </c>
      <c r="AM79" s="676">
        <f>I79+AE79</f>
        <v>516966</v>
      </c>
      <c r="AN79" s="492">
        <f>J79+V79</f>
        <v>383506</v>
      </c>
      <c r="AO79" s="573">
        <f>K79+Z79</f>
        <v>0</v>
      </c>
      <c r="AP79" s="492">
        <f t="shared" si="52"/>
        <v>129625</v>
      </c>
      <c r="AQ79" s="492">
        <f t="shared" si="52"/>
        <v>3835</v>
      </c>
      <c r="AR79" s="492">
        <f t="shared" si="52"/>
        <v>0</v>
      </c>
      <c r="AS79" s="609">
        <f>O79+AL79</f>
        <v>0.80559999999999998</v>
      </c>
      <c r="AT79" s="240"/>
    </row>
    <row r="80" spans="1:46" ht="12.95" customHeight="1" x14ac:dyDescent="0.25">
      <c r="A80" s="205">
        <v>17</v>
      </c>
      <c r="B80" s="246">
        <v>5479</v>
      </c>
      <c r="C80" s="247">
        <v>600099105</v>
      </c>
      <c r="D80" s="206">
        <v>70910600</v>
      </c>
      <c r="E80" s="388" t="s">
        <v>769</v>
      </c>
      <c r="F80" s="246">
        <v>3113</v>
      </c>
      <c r="G80" s="209" t="s">
        <v>278</v>
      </c>
      <c r="H80" s="209" t="s">
        <v>263</v>
      </c>
      <c r="I80" s="580">
        <v>3171030</v>
      </c>
      <c r="J80" s="660">
        <v>2352396</v>
      </c>
      <c r="K80" s="660">
        <v>0</v>
      </c>
      <c r="L80" s="55">
        <v>795110</v>
      </c>
      <c r="M80" s="55">
        <v>23524</v>
      </c>
      <c r="N80" s="325">
        <v>0</v>
      </c>
      <c r="O80" s="719">
        <v>5.0999999999999996</v>
      </c>
      <c r="P80" s="440">
        <f t="shared" si="50"/>
        <v>0</v>
      </c>
      <c r="Q80" s="573">
        <v>0</v>
      </c>
      <c r="R80" s="325">
        <v>0</v>
      </c>
      <c r="S80" s="325">
        <v>0</v>
      </c>
      <c r="T80" s="325">
        <v>0</v>
      </c>
      <c r="U80" s="325">
        <v>0</v>
      </c>
      <c r="V80" s="492">
        <f>P80+Q80+R80+S80+T80+U80</f>
        <v>0</v>
      </c>
      <c r="W80" s="325">
        <v>0</v>
      </c>
      <c r="X80" s="325">
        <v>0</v>
      </c>
      <c r="Y80" s="325">
        <v>0</v>
      </c>
      <c r="Z80" s="492">
        <f>W80+X80+Y80</f>
        <v>0</v>
      </c>
      <c r="AA80" s="492">
        <f>V80+Z80</f>
        <v>0</v>
      </c>
      <c r="AB80" s="494">
        <f>ROUND((V80+Z80)*33.8%,0)</f>
        <v>0</v>
      </c>
      <c r="AC80" s="494">
        <f>ROUND(V80*1%,0)</f>
        <v>0</v>
      </c>
      <c r="AD80" s="492">
        <v>0</v>
      </c>
      <c r="AE80" s="753">
        <f t="shared" si="51"/>
        <v>0</v>
      </c>
      <c r="AF80" s="688">
        <v>0</v>
      </c>
      <c r="AG80" s="576">
        <v>0</v>
      </c>
      <c r="AH80" s="326">
        <v>0</v>
      </c>
      <c r="AI80" s="326">
        <v>0</v>
      </c>
      <c r="AJ80" s="326">
        <v>0</v>
      </c>
      <c r="AK80" s="326">
        <v>0</v>
      </c>
      <c r="AL80" s="609">
        <f>SUM(AF80:AK80)</f>
        <v>0</v>
      </c>
      <c r="AM80" s="676">
        <f>I80+AE80</f>
        <v>3171030</v>
      </c>
      <c r="AN80" s="492">
        <f>J80+V80</f>
        <v>2352396</v>
      </c>
      <c r="AO80" s="573">
        <f>K80+Z80</f>
        <v>0</v>
      </c>
      <c r="AP80" s="492">
        <f t="shared" si="52"/>
        <v>795110</v>
      </c>
      <c r="AQ80" s="492">
        <f t="shared" si="52"/>
        <v>23524</v>
      </c>
      <c r="AR80" s="492">
        <f t="shared" si="52"/>
        <v>0</v>
      </c>
      <c r="AS80" s="609">
        <f>O80+AL80</f>
        <v>5.0999999999999996</v>
      </c>
      <c r="AT80" s="240"/>
    </row>
    <row r="81" spans="1:46" ht="12.95" customHeight="1" x14ac:dyDescent="0.25">
      <c r="A81" s="205">
        <v>17</v>
      </c>
      <c r="B81" s="246">
        <v>5479</v>
      </c>
      <c r="C81" s="247">
        <v>600099105</v>
      </c>
      <c r="D81" s="206">
        <v>70910600</v>
      </c>
      <c r="E81" s="388" t="s">
        <v>769</v>
      </c>
      <c r="F81" s="246">
        <v>3143</v>
      </c>
      <c r="G81" s="209" t="s">
        <v>795</v>
      </c>
      <c r="H81" s="209" t="s">
        <v>262</v>
      </c>
      <c r="I81" s="580">
        <v>1462508</v>
      </c>
      <c r="J81" s="660">
        <v>1084947</v>
      </c>
      <c r="K81" s="660">
        <v>0</v>
      </c>
      <c r="L81" s="55">
        <v>366712</v>
      </c>
      <c r="M81" s="55">
        <v>10849</v>
      </c>
      <c r="N81" s="325">
        <v>0</v>
      </c>
      <c r="O81" s="719">
        <v>1.9167000000000001</v>
      </c>
      <c r="P81" s="440">
        <f t="shared" si="50"/>
        <v>0</v>
      </c>
      <c r="Q81" s="573">
        <v>0</v>
      </c>
      <c r="R81" s="325">
        <v>0</v>
      </c>
      <c r="S81" s="325">
        <v>0</v>
      </c>
      <c r="T81" s="325">
        <v>0</v>
      </c>
      <c r="U81" s="325">
        <v>0</v>
      </c>
      <c r="V81" s="492">
        <f>P81+Q81+R81+S81+T81+U81</f>
        <v>0</v>
      </c>
      <c r="W81" s="325">
        <v>0</v>
      </c>
      <c r="X81" s="325">
        <v>0</v>
      </c>
      <c r="Y81" s="325">
        <v>0</v>
      </c>
      <c r="Z81" s="492">
        <f>W81+X81+Y81</f>
        <v>0</v>
      </c>
      <c r="AA81" s="492">
        <f>V81+Z81</f>
        <v>0</v>
      </c>
      <c r="AB81" s="494">
        <f>ROUND((V81+Z81)*33.8%,0)</f>
        <v>0</v>
      </c>
      <c r="AC81" s="494">
        <f>ROUND(V81*1%,0)</f>
        <v>0</v>
      </c>
      <c r="AD81" s="492">
        <v>0</v>
      </c>
      <c r="AE81" s="753">
        <f t="shared" si="51"/>
        <v>0</v>
      </c>
      <c r="AF81" s="688">
        <v>0</v>
      </c>
      <c r="AG81" s="576">
        <v>0</v>
      </c>
      <c r="AH81" s="326">
        <v>0</v>
      </c>
      <c r="AI81" s="326">
        <v>0</v>
      </c>
      <c r="AJ81" s="326">
        <v>0</v>
      </c>
      <c r="AK81" s="326">
        <v>0</v>
      </c>
      <c r="AL81" s="609">
        <f>SUM(AF81:AK81)</f>
        <v>0</v>
      </c>
      <c r="AM81" s="676">
        <f>I81+AE81</f>
        <v>1462508</v>
      </c>
      <c r="AN81" s="492">
        <f>J81+V81</f>
        <v>1084947</v>
      </c>
      <c r="AO81" s="573">
        <f>K81+Z81</f>
        <v>0</v>
      </c>
      <c r="AP81" s="492">
        <f t="shared" si="52"/>
        <v>366712</v>
      </c>
      <c r="AQ81" s="492">
        <f t="shared" si="52"/>
        <v>10849</v>
      </c>
      <c r="AR81" s="492">
        <f t="shared" si="52"/>
        <v>0</v>
      </c>
      <c r="AS81" s="609">
        <f>O81+AL81</f>
        <v>1.9167000000000001</v>
      </c>
      <c r="AT81" s="240"/>
    </row>
    <row r="82" spans="1:46" ht="12.95" customHeight="1" x14ac:dyDescent="0.25">
      <c r="A82" s="205">
        <v>17</v>
      </c>
      <c r="B82" s="246">
        <v>5479</v>
      </c>
      <c r="C82" s="247">
        <v>600099105</v>
      </c>
      <c r="D82" s="206">
        <v>70910600</v>
      </c>
      <c r="E82" s="388" t="s">
        <v>769</v>
      </c>
      <c r="F82" s="246">
        <v>3233</v>
      </c>
      <c r="G82" s="270" t="s">
        <v>283</v>
      </c>
      <c r="H82" s="209" t="s">
        <v>263</v>
      </c>
      <c r="I82" s="580">
        <v>1828972</v>
      </c>
      <c r="J82" s="660">
        <v>1356804</v>
      </c>
      <c r="K82" s="660">
        <v>0</v>
      </c>
      <c r="L82" s="55">
        <v>458600</v>
      </c>
      <c r="M82" s="55">
        <v>13568</v>
      </c>
      <c r="N82" s="325">
        <v>0</v>
      </c>
      <c r="O82" s="719">
        <v>2.2999999999999998</v>
      </c>
      <c r="P82" s="440">
        <f t="shared" si="50"/>
        <v>0</v>
      </c>
      <c r="Q82" s="573">
        <v>0</v>
      </c>
      <c r="R82" s="325">
        <v>0</v>
      </c>
      <c r="S82" s="325">
        <v>0</v>
      </c>
      <c r="T82" s="325">
        <v>0</v>
      </c>
      <c r="U82" s="325">
        <v>0</v>
      </c>
      <c r="V82" s="492">
        <f>P82+Q82+R82+S82+T82+U82</f>
        <v>0</v>
      </c>
      <c r="W82" s="325">
        <v>0</v>
      </c>
      <c r="X82" s="325">
        <v>0</v>
      </c>
      <c r="Y82" s="325">
        <v>0</v>
      </c>
      <c r="Z82" s="492">
        <f>W82+X82+Y82</f>
        <v>0</v>
      </c>
      <c r="AA82" s="492">
        <f>V82+Z82</f>
        <v>0</v>
      </c>
      <c r="AB82" s="494">
        <f>ROUND((V82+Z82)*33.8%,0)</f>
        <v>0</v>
      </c>
      <c r="AC82" s="494">
        <f>ROUND(V82*1%,0)</f>
        <v>0</v>
      </c>
      <c r="AD82" s="492">
        <v>0</v>
      </c>
      <c r="AE82" s="753">
        <f t="shared" si="51"/>
        <v>0</v>
      </c>
      <c r="AF82" s="688">
        <v>0</v>
      </c>
      <c r="AG82" s="576">
        <v>0</v>
      </c>
      <c r="AH82" s="326">
        <v>0</v>
      </c>
      <c r="AI82" s="326">
        <v>0</v>
      </c>
      <c r="AJ82" s="326">
        <v>0</v>
      </c>
      <c r="AK82" s="326">
        <v>0</v>
      </c>
      <c r="AL82" s="609">
        <f>SUM(AF82:AK82)</f>
        <v>0</v>
      </c>
      <c r="AM82" s="676">
        <f>I82+AE82</f>
        <v>1828972</v>
      </c>
      <c r="AN82" s="492">
        <f>J82+V82</f>
        <v>1356804</v>
      </c>
      <c r="AO82" s="573">
        <f>K82+Z82</f>
        <v>0</v>
      </c>
      <c r="AP82" s="492">
        <f t="shared" si="52"/>
        <v>458600</v>
      </c>
      <c r="AQ82" s="492">
        <f t="shared" si="52"/>
        <v>13568</v>
      </c>
      <c r="AR82" s="492">
        <f t="shared" si="52"/>
        <v>0</v>
      </c>
      <c r="AS82" s="609">
        <f>O82+AL82</f>
        <v>2.2999999999999998</v>
      </c>
      <c r="AT82" s="240"/>
    </row>
    <row r="83" spans="1:46" ht="12.95" customHeight="1" x14ac:dyDescent="0.25">
      <c r="A83" s="198">
        <v>17</v>
      </c>
      <c r="B83" s="250">
        <v>5479</v>
      </c>
      <c r="C83" s="251">
        <v>600099105</v>
      </c>
      <c r="D83" s="250">
        <v>70910600</v>
      </c>
      <c r="E83" s="389" t="s">
        <v>770</v>
      </c>
      <c r="F83" s="250"/>
      <c r="G83" s="275"/>
      <c r="H83" s="563"/>
      <c r="I83" s="646">
        <v>23106600</v>
      </c>
      <c r="J83" s="661">
        <v>17141394</v>
      </c>
      <c r="K83" s="661">
        <v>0</v>
      </c>
      <c r="L83" s="355">
        <v>5793792</v>
      </c>
      <c r="M83" s="355">
        <v>171414</v>
      </c>
      <c r="N83" s="355">
        <v>0</v>
      </c>
      <c r="O83" s="720">
        <v>25.803799999999999</v>
      </c>
      <c r="P83" s="442">
        <f t="shared" ref="P83:AS83" si="53">SUM(P78:P82)</f>
        <v>0</v>
      </c>
      <c r="Q83" s="442">
        <f t="shared" si="53"/>
        <v>0</v>
      </c>
      <c r="R83" s="355">
        <f t="shared" si="53"/>
        <v>0</v>
      </c>
      <c r="S83" s="355">
        <f t="shared" si="53"/>
        <v>0</v>
      </c>
      <c r="T83" s="355">
        <f t="shared" si="53"/>
        <v>0</v>
      </c>
      <c r="U83" s="355">
        <f t="shared" si="53"/>
        <v>0</v>
      </c>
      <c r="V83" s="355">
        <f t="shared" si="53"/>
        <v>0</v>
      </c>
      <c r="W83" s="355">
        <f t="shared" si="53"/>
        <v>0</v>
      </c>
      <c r="X83" s="355">
        <f t="shared" si="53"/>
        <v>0</v>
      </c>
      <c r="Y83" s="355">
        <f t="shared" si="53"/>
        <v>0</v>
      </c>
      <c r="Z83" s="355">
        <f t="shared" si="53"/>
        <v>0</v>
      </c>
      <c r="AA83" s="355">
        <f t="shared" si="53"/>
        <v>0</v>
      </c>
      <c r="AB83" s="355">
        <f t="shared" si="53"/>
        <v>0</v>
      </c>
      <c r="AC83" s="355">
        <f t="shared" si="53"/>
        <v>0</v>
      </c>
      <c r="AD83" s="355">
        <f t="shared" si="53"/>
        <v>0</v>
      </c>
      <c r="AE83" s="665">
        <f t="shared" si="53"/>
        <v>0</v>
      </c>
      <c r="AF83" s="802">
        <f t="shared" si="53"/>
        <v>0</v>
      </c>
      <c r="AG83" s="356">
        <f t="shared" si="53"/>
        <v>0</v>
      </c>
      <c r="AH83" s="356">
        <f t="shared" si="53"/>
        <v>0</v>
      </c>
      <c r="AI83" s="356">
        <f t="shared" si="53"/>
        <v>0</v>
      </c>
      <c r="AJ83" s="356">
        <f t="shared" si="53"/>
        <v>0</v>
      </c>
      <c r="AK83" s="356">
        <f t="shared" si="53"/>
        <v>0</v>
      </c>
      <c r="AL83" s="253">
        <f t="shared" si="53"/>
        <v>0</v>
      </c>
      <c r="AM83" s="668">
        <f t="shared" si="53"/>
        <v>23106600</v>
      </c>
      <c r="AN83" s="442">
        <f t="shared" si="53"/>
        <v>17141394</v>
      </c>
      <c r="AO83" s="355">
        <f t="shared" si="53"/>
        <v>0</v>
      </c>
      <c r="AP83" s="355">
        <f t="shared" si="53"/>
        <v>5793792</v>
      </c>
      <c r="AQ83" s="355">
        <f t="shared" si="53"/>
        <v>171414</v>
      </c>
      <c r="AR83" s="355">
        <f t="shared" si="53"/>
        <v>0</v>
      </c>
      <c r="AS83" s="253">
        <f t="shared" si="53"/>
        <v>25.803799999999999</v>
      </c>
      <c r="AT83" s="240"/>
    </row>
    <row r="84" spans="1:46" ht="12.95" customHeight="1" x14ac:dyDescent="0.25">
      <c r="A84" s="205">
        <v>18</v>
      </c>
      <c r="B84" s="246">
        <v>5442</v>
      </c>
      <c r="C84" s="247">
        <v>650030541</v>
      </c>
      <c r="D84" s="206">
        <v>75017512</v>
      </c>
      <c r="E84" s="273" t="s">
        <v>426</v>
      </c>
      <c r="F84" s="246">
        <v>3111</v>
      </c>
      <c r="G84" s="270" t="s">
        <v>290</v>
      </c>
      <c r="H84" s="209" t="s">
        <v>262</v>
      </c>
      <c r="I84" s="580">
        <v>2894985</v>
      </c>
      <c r="J84" s="660">
        <v>2147615</v>
      </c>
      <c r="K84" s="660">
        <v>0</v>
      </c>
      <c r="L84" s="55">
        <v>725894</v>
      </c>
      <c r="M84" s="55">
        <v>21476</v>
      </c>
      <c r="N84" s="325">
        <v>0</v>
      </c>
      <c r="O84" s="719">
        <v>3.5</v>
      </c>
      <c r="P84" s="445">
        <f t="shared" ref="P84:P87" si="54">W84*-1</f>
        <v>0</v>
      </c>
      <c r="Q84" s="573">
        <v>0</v>
      </c>
      <c r="R84" s="325">
        <v>0</v>
      </c>
      <c r="S84" s="325">
        <v>0</v>
      </c>
      <c r="T84" s="325">
        <v>0</v>
      </c>
      <c r="U84" s="325">
        <v>0</v>
      </c>
      <c r="V84" s="492">
        <f>P84+Q84+R84+S84+T84+U84</f>
        <v>0</v>
      </c>
      <c r="W84" s="325">
        <v>0</v>
      </c>
      <c r="X84" s="325">
        <v>0</v>
      </c>
      <c r="Y84" s="325">
        <v>0</v>
      </c>
      <c r="Z84" s="492">
        <f>W84+X84+Y84</f>
        <v>0</v>
      </c>
      <c r="AA84" s="492">
        <f>V84+Z84</f>
        <v>0</v>
      </c>
      <c r="AB84" s="494">
        <f>ROUND((V84+Z84)*33.8%,0)</f>
        <v>0</v>
      </c>
      <c r="AC84" s="494">
        <f>ROUND(V84*1%,0)</f>
        <v>0</v>
      </c>
      <c r="AD84" s="492">
        <v>0</v>
      </c>
      <c r="AE84" s="753">
        <f t="shared" ref="AE84:AE87" si="55">AA84+AB84+AC84+AD84</f>
        <v>0</v>
      </c>
      <c r="AF84" s="688">
        <v>0</v>
      </c>
      <c r="AG84" s="576">
        <v>0</v>
      </c>
      <c r="AH84" s="326">
        <v>0</v>
      </c>
      <c r="AI84" s="326">
        <v>0</v>
      </c>
      <c r="AJ84" s="326">
        <v>0</v>
      </c>
      <c r="AK84" s="326">
        <v>0</v>
      </c>
      <c r="AL84" s="609">
        <f>SUM(AF84:AK84)</f>
        <v>0</v>
      </c>
      <c r="AM84" s="676">
        <f>I84+AE84</f>
        <v>2894985</v>
      </c>
      <c r="AN84" s="492">
        <f>J84+V84</f>
        <v>2147615</v>
      </c>
      <c r="AO84" s="573">
        <f>K84+Z84</f>
        <v>0</v>
      </c>
      <c r="AP84" s="492">
        <f t="shared" ref="AP84:AR87" si="56">L84+AB84</f>
        <v>725894</v>
      </c>
      <c r="AQ84" s="492">
        <f t="shared" si="56"/>
        <v>21476</v>
      </c>
      <c r="AR84" s="492">
        <f t="shared" si="56"/>
        <v>0</v>
      </c>
      <c r="AS84" s="609">
        <f>O84+AL84</f>
        <v>3.5</v>
      </c>
      <c r="AT84" s="240"/>
    </row>
    <row r="85" spans="1:46" ht="12.95" customHeight="1" x14ac:dyDescent="0.25">
      <c r="A85" s="205">
        <v>18</v>
      </c>
      <c r="B85" s="246">
        <v>5442</v>
      </c>
      <c r="C85" s="247">
        <v>650030541</v>
      </c>
      <c r="D85" s="206">
        <v>75017512</v>
      </c>
      <c r="E85" s="273" t="s">
        <v>426</v>
      </c>
      <c r="F85" s="246">
        <v>3113</v>
      </c>
      <c r="G85" s="270" t="s">
        <v>294</v>
      </c>
      <c r="H85" s="209" t="s">
        <v>262</v>
      </c>
      <c r="I85" s="580">
        <v>11217829</v>
      </c>
      <c r="J85" s="660">
        <v>8321831</v>
      </c>
      <c r="K85" s="660">
        <v>0</v>
      </c>
      <c r="L85" s="55">
        <v>2812779</v>
      </c>
      <c r="M85" s="55">
        <v>83219</v>
      </c>
      <c r="N85" s="325">
        <v>0</v>
      </c>
      <c r="O85" s="719">
        <v>12.0479</v>
      </c>
      <c r="P85" s="440">
        <f t="shared" si="54"/>
        <v>0</v>
      </c>
      <c r="Q85" s="573">
        <v>0</v>
      </c>
      <c r="R85" s="325">
        <v>0</v>
      </c>
      <c r="S85" s="325">
        <v>0</v>
      </c>
      <c r="T85" s="325">
        <v>0</v>
      </c>
      <c r="U85" s="325">
        <v>0</v>
      </c>
      <c r="V85" s="492">
        <f>P85+Q85+R85+S85+T85+U85</f>
        <v>0</v>
      </c>
      <c r="W85" s="325">
        <v>0</v>
      </c>
      <c r="X85" s="325">
        <v>0</v>
      </c>
      <c r="Y85" s="325">
        <v>0</v>
      </c>
      <c r="Z85" s="492">
        <f>W85+X85+Y85</f>
        <v>0</v>
      </c>
      <c r="AA85" s="492">
        <f>V85+Z85</f>
        <v>0</v>
      </c>
      <c r="AB85" s="494">
        <f>ROUND((V85+Z85)*33.8%,0)</f>
        <v>0</v>
      </c>
      <c r="AC85" s="494">
        <f>ROUND(V85*1%,0)</f>
        <v>0</v>
      </c>
      <c r="AD85" s="492">
        <v>0</v>
      </c>
      <c r="AE85" s="753">
        <f t="shared" si="55"/>
        <v>0</v>
      </c>
      <c r="AF85" s="688">
        <v>0</v>
      </c>
      <c r="AG85" s="576">
        <v>0</v>
      </c>
      <c r="AH85" s="326">
        <v>0</v>
      </c>
      <c r="AI85" s="326">
        <v>0</v>
      </c>
      <c r="AJ85" s="326">
        <v>0</v>
      </c>
      <c r="AK85" s="326">
        <v>0</v>
      </c>
      <c r="AL85" s="609">
        <f>SUM(AF85:AK85)</f>
        <v>0</v>
      </c>
      <c r="AM85" s="676">
        <f>I85+AE85</f>
        <v>11217829</v>
      </c>
      <c r="AN85" s="492">
        <f>J85+V85</f>
        <v>8321831</v>
      </c>
      <c r="AO85" s="573">
        <f>K85+Z85</f>
        <v>0</v>
      </c>
      <c r="AP85" s="492">
        <f t="shared" si="56"/>
        <v>2812779</v>
      </c>
      <c r="AQ85" s="492">
        <f t="shared" si="56"/>
        <v>83219</v>
      </c>
      <c r="AR85" s="492">
        <f t="shared" si="56"/>
        <v>0</v>
      </c>
      <c r="AS85" s="609">
        <f>O85+AL85</f>
        <v>12.0479</v>
      </c>
      <c r="AT85" s="240"/>
    </row>
    <row r="86" spans="1:46" ht="12.95" customHeight="1" x14ac:dyDescent="0.25">
      <c r="A86" s="205">
        <v>18</v>
      </c>
      <c r="B86" s="246">
        <v>5442</v>
      </c>
      <c r="C86" s="247">
        <v>650030541</v>
      </c>
      <c r="D86" s="206">
        <v>75017512</v>
      </c>
      <c r="E86" s="273" t="s">
        <v>426</v>
      </c>
      <c r="F86" s="246">
        <v>3113</v>
      </c>
      <c r="G86" s="209" t="s">
        <v>278</v>
      </c>
      <c r="H86" s="209" t="s">
        <v>263</v>
      </c>
      <c r="I86" s="580">
        <v>1159078</v>
      </c>
      <c r="J86" s="660">
        <v>859850</v>
      </c>
      <c r="K86" s="660">
        <v>0</v>
      </c>
      <c r="L86" s="55">
        <v>290629</v>
      </c>
      <c r="M86" s="55">
        <v>8599</v>
      </c>
      <c r="N86" s="325">
        <v>0</v>
      </c>
      <c r="O86" s="719">
        <v>2.17</v>
      </c>
      <c r="P86" s="440">
        <f t="shared" si="54"/>
        <v>0</v>
      </c>
      <c r="Q86" s="573">
        <v>0</v>
      </c>
      <c r="R86" s="325">
        <v>0</v>
      </c>
      <c r="S86" s="325">
        <v>0</v>
      </c>
      <c r="T86" s="325">
        <v>0</v>
      </c>
      <c r="U86" s="325">
        <v>0</v>
      </c>
      <c r="V86" s="492">
        <f>P86+Q86+R86+S86+T86+U86</f>
        <v>0</v>
      </c>
      <c r="W86" s="325">
        <v>0</v>
      </c>
      <c r="X86" s="325">
        <v>0</v>
      </c>
      <c r="Y86" s="325">
        <v>0</v>
      </c>
      <c r="Z86" s="492">
        <f>W86+X86+Y86</f>
        <v>0</v>
      </c>
      <c r="AA86" s="492">
        <f>V86+Z86</f>
        <v>0</v>
      </c>
      <c r="AB86" s="494">
        <f>ROUND((V86+Z86)*33.8%,0)</f>
        <v>0</v>
      </c>
      <c r="AC86" s="494">
        <f>ROUND(V86*1%,0)</f>
        <v>0</v>
      </c>
      <c r="AD86" s="492">
        <v>0</v>
      </c>
      <c r="AE86" s="753">
        <f t="shared" si="55"/>
        <v>0</v>
      </c>
      <c r="AF86" s="688">
        <v>0</v>
      </c>
      <c r="AG86" s="576">
        <v>0</v>
      </c>
      <c r="AH86" s="326">
        <v>0</v>
      </c>
      <c r="AI86" s="326">
        <v>0</v>
      </c>
      <c r="AJ86" s="326">
        <v>0</v>
      </c>
      <c r="AK86" s="326">
        <v>0</v>
      </c>
      <c r="AL86" s="609">
        <f>SUM(AF86:AK86)</f>
        <v>0</v>
      </c>
      <c r="AM86" s="676">
        <f>I86+AE86</f>
        <v>1159078</v>
      </c>
      <c r="AN86" s="492">
        <f>J86+V86</f>
        <v>859850</v>
      </c>
      <c r="AO86" s="573">
        <f>K86+Z86</f>
        <v>0</v>
      </c>
      <c r="AP86" s="492">
        <f t="shared" si="56"/>
        <v>290629</v>
      </c>
      <c r="AQ86" s="492">
        <f t="shared" si="56"/>
        <v>8599</v>
      </c>
      <c r="AR86" s="492">
        <f t="shared" si="56"/>
        <v>0</v>
      </c>
      <c r="AS86" s="609">
        <f>O86+AL86</f>
        <v>2.17</v>
      </c>
      <c r="AT86" s="240"/>
    </row>
    <row r="87" spans="1:46" ht="12.95" customHeight="1" x14ac:dyDescent="0.25">
      <c r="A87" s="205">
        <v>18</v>
      </c>
      <c r="B87" s="246">
        <v>5442</v>
      </c>
      <c r="C87" s="247">
        <v>650030541</v>
      </c>
      <c r="D87" s="206">
        <v>75017512</v>
      </c>
      <c r="E87" s="273" t="s">
        <v>426</v>
      </c>
      <c r="F87" s="246">
        <v>3143</v>
      </c>
      <c r="G87" s="209" t="s">
        <v>794</v>
      </c>
      <c r="H87" s="209" t="s">
        <v>262</v>
      </c>
      <c r="I87" s="580">
        <v>1078732</v>
      </c>
      <c r="J87" s="660">
        <v>800247</v>
      </c>
      <c r="K87" s="660">
        <v>0</v>
      </c>
      <c r="L87" s="55">
        <v>270483</v>
      </c>
      <c r="M87" s="55">
        <v>8002</v>
      </c>
      <c r="N87" s="325">
        <v>0</v>
      </c>
      <c r="O87" s="719">
        <v>1.5999000000000001</v>
      </c>
      <c r="P87" s="440">
        <f t="shared" si="54"/>
        <v>0</v>
      </c>
      <c r="Q87" s="573">
        <v>0</v>
      </c>
      <c r="R87" s="325">
        <v>0</v>
      </c>
      <c r="S87" s="325">
        <v>0</v>
      </c>
      <c r="T87" s="325">
        <v>0</v>
      </c>
      <c r="U87" s="325">
        <v>0</v>
      </c>
      <c r="V87" s="492">
        <f>P87+Q87+R87+S87+T87+U87</f>
        <v>0</v>
      </c>
      <c r="W87" s="325">
        <v>0</v>
      </c>
      <c r="X87" s="325">
        <v>0</v>
      </c>
      <c r="Y87" s="325">
        <v>0</v>
      </c>
      <c r="Z87" s="492">
        <f>W87+X87+Y87</f>
        <v>0</v>
      </c>
      <c r="AA87" s="492">
        <f>V87+Z87</f>
        <v>0</v>
      </c>
      <c r="AB87" s="494">
        <f>ROUND((V87+Z87)*33.8%,0)</f>
        <v>0</v>
      </c>
      <c r="AC87" s="494">
        <f>ROUND(V87*1%,0)</f>
        <v>0</v>
      </c>
      <c r="AD87" s="492">
        <v>0</v>
      </c>
      <c r="AE87" s="753">
        <f t="shared" si="55"/>
        <v>0</v>
      </c>
      <c r="AF87" s="688">
        <v>0</v>
      </c>
      <c r="AG87" s="576">
        <v>0</v>
      </c>
      <c r="AH87" s="326">
        <v>0</v>
      </c>
      <c r="AI87" s="326">
        <v>0</v>
      </c>
      <c r="AJ87" s="326">
        <v>0</v>
      </c>
      <c r="AK87" s="326">
        <v>0</v>
      </c>
      <c r="AL87" s="609">
        <f>SUM(AF87:AK87)</f>
        <v>0</v>
      </c>
      <c r="AM87" s="676">
        <f>I87+AE87</f>
        <v>1078732</v>
      </c>
      <c r="AN87" s="492">
        <f>J87+V87</f>
        <v>800247</v>
      </c>
      <c r="AO87" s="573">
        <f>K87+Z87</f>
        <v>0</v>
      </c>
      <c r="AP87" s="492">
        <f t="shared" si="56"/>
        <v>270483</v>
      </c>
      <c r="AQ87" s="492">
        <f t="shared" si="56"/>
        <v>8002</v>
      </c>
      <c r="AR87" s="492">
        <f t="shared" si="56"/>
        <v>0</v>
      </c>
      <c r="AS87" s="609">
        <f>O87+AL87</f>
        <v>1.5999000000000001</v>
      </c>
      <c r="AT87" s="240"/>
    </row>
    <row r="88" spans="1:46" ht="12.95" customHeight="1" x14ac:dyDescent="0.25">
      <c r="A88" s="198">
        <v>18</v>
      </c>
      <c r="B88" s="250">
        <v>5442</v>
      </c>
      <c r="C88" s="251">
        <v>650030541</v>
      </c>
      <c r="D88" s="250">
        <v>75017512</v>
      </c>
      <c r="E88" s="274" t="s">
        <v>427</v>
      </c>
      <c r="F88" s="250"/>
      <c r="G88" s="275"/>
      <c r="H88" s="563"/>
      <c r="I88" s="647">
        <v>16350624</v>
      </c>
      <c r="J88" s="662">
        <v>12129543</v>
      </c>
      <c r="K88" s="662">
        <v>0</v>
      </c>
      <c r="L88" s="357">
        <v>4099785</v>
      </c>
      <c r="M88" s="357">
        <v>121296</v>
      </c>
      <c r="N88" s="357">
        <v>0</v>
      </c>
      <c r="O88" s="723">
        <v>19.317800000000002</v>
      </c>
      <c r="P88" s="443">
        <f t="shared" ref="P88:AS88" si="57">SUM(P84:P87)</f>
        <v>0</v>
      </c>
      <c r="Q88" s="443">
        <f t="shared" si="57"/>
        <v>0</v>
      </c>
      <c r="R88" s="357">
        <f t="shared" si="57"/>
        <v>0</v>
      </c>
      <c r="S88" s="357">
        <f t="shared" si="57"/>
        <v>0</v>
      </c>
      <c r="T88" s="357">
        <f t="shared" si="57"/>
        <v>0</v>
      </c>
      <c r="U88" s="357">
        <f t="shared" si="57"/>
        <v>0</v>
      </c>
      <c r="V88" s="357">
        <f t="shared" si="57"/>
        <v>0</v>
      </c>
      <c r="W88" s="357">
        <f t="shared" si="57"/>
        <v>0</v>
      </c>
      <c r="X88" s="357">
        <f t="shared" si="57"/>
        <v>0</v>
      </c>
      <c r="Y88" s="357">
        <f t="shared" si="57"/>
        <v>0</v>
      </c>
      <c r="Z88" s="357">
        <f t="shared" si="57"/>
        <v>0</v>
      </c>
      <c r="AA88" s="357">
        <f t="shared" si="57"/>
        <v>0</v>
      </c>
      <c r="AB88" s="357">
        <f t="shared" si="57"/>
        <v>0</v>
      </c>
      <c r="AC88" s="357">
        <f t="shared" si="57"/>
        <v>0</v>
      </c>
      <c r="AD88" s="357">
        <f t="shared" si="57"/>
        <v>0</v>
      </c>
      <c r="AE88" s="666">
        <f t="shared" si="57"/>
        <v>0</v>
      </c>
      <c r="AF88" s="803">
        <f t="shared" si="57"/>
        <v>0</v>
      </c>
      <c r="AG88" s="358">
        <f t="shared" si="57"/>
        <v>0</v>
      </c>
      <c r="AH88" s="358">
        <f t="shared" si="57"/>
        <v>0</v>
      </c>
      <c r="AI88" s="358">
        <f t="shared" si="57"/>
        <v>0</v>
      </c>
      <c r="AJ88" s="358">
        <f t="shared" si="57"/>
        <v>0</v>
      </c>
      <c r="AK88" s="358">
        <f t="shared" si="57"/>
        <v>0</v>
      </c>
      <c r="AL88" s="258">
        <f t="shared" si="57"/>
        <v>0</v>
      </c>
      <c r="AM88" s="669">
        <f t="shared" si="57"/>
        <v>16350624</v>
      </c>
      <c r="AN88" s="443">
        <f t="shared" si="57"/>
        <v>12129543</v>
      </c>
      <c r="AO88" s="357">
        <f t="shared" si="57"/>
        <v>0</v>
      </c>
      <c r="AP88" s="357">
        <f t="shared" si="57"/>
        <v>4099785</v>
      </c>
      <c r="AQ88" s="357">
        <f t="shared" si="57"/>
        <v>121296</v>
      </c>
      <c r="AR88" s="357">
        <f t="shared" si="57"/>
        <v>0</v>
      </c>
      <c r="AS88" s="258">
        <f t="shared" si="57"/>
        <v>19.317800000000002</v>
      </c>
      <c r="AT88" s="240"/>
    </row>
    <row r="89" spans="1:46" ht="12.95" customHeight="1" x14ac:dyDescent="0.25">
      <c r="A89" s="205">
        <v>19</v>
      </c>
      <c r="B89" s="246">
        <v>5453</v>
      </c>
      <c r="C89" s="247">
        <v>600099211</v>
      </c>
      <c r="D89" s="206">
        <v>854760</v>
      </c>
      <c r="E89" s="273" t="s">
        <v>428</v>
      </c>
      <c r="F89" s="246">
        <v>3111</v>
      </c>
      <c r="G89" s="270" t="s">
        <v>290</v>
      </c>
      <c r="H89" s="209" t="s">
        <v>262</v>
      </c>
      <c r="I89" s="580">
        <v>6443469</v>
      </c>
      <c r="J89" s="660">
        <v>4780022</v>
      </c>
      <c r="K89" s="660">
        <v>0</v>
      </c>
      <c r="L89" s="55">
        <v>1615647</v>
      </c>
      <c r="M89" s="55">
        <v>47800</v>
      </c>
      <c r="N89" s="325">
        <v>0</v>
      </c>
      <c r="O89" s="719">
        <v>8</v>
      </c>
      <c r="P89" s="445">
        <f t="shared" ref="P89:P94" si="58">W89*-1</f>
        <v>0</v>
      </c>
      <c r="Q89" s="573">
        <v>0</v>
      </c>
      <c r="R89" s="325">
        <v>0</v>
      </c>
      <c r="S89" s="325">
        <v>0</v>
      </c>
      <c r="T89" s="325">
        <v>0</v>
      </c>
      <c r="U89" s="325">
        <v>0</v>
      </c>
      <c r="V89" s="492">
        <f t="shared" ref="V89:V94" si="59">P89+Q89+R89+S89+T89+U89</f>
        <v>0</v>
      </c>
      <c r="W89" s="325">
        <v>0</v>
      </c>
      <c r="X89" s="325">
        <v>0</v>
      </c>
      <c r="Y89" s="325">
        <v>0</v>
      </c>
      <c r="Z89" s="492">
        <f t="shared" ref="Z89:Z94" si="60">W89+X89+Y89</f>
        <v>0</v>
      </c>
      <c r="AA89" s="492">
        <f t="shared" ref="AA89:AA94" si="61">V89+Z89</f>
        <v>0</v>
      </c>
      <c r="AB89" s="494">
        <f t="shared" ref="AB89:AB94" si="62">ROUND((V89+Z89)*33.8%,0)</f>
        <v>0</v>
      </c>
      <c r="AC89" s="494">
        <f t="shared" ref="AC89:AC94" si="63">ROUND(V89*1%,0)</f>
        <v>0</v>
      </c>
      <c r="AD89" s="492">
        <v>0</v>
      </c>
      <c r="AE89" s="753">
        <f t="shared" ref="AE89:AE94" si="64">AA89+AB89+AC89+AD89</f>
        <v>0</v>
      </c>
      <c r="AF89" s="688">
        <v>0</v>
      </c>
      <c r="AG89" s="576">
        <v>0</v>
      </c>
      <c r="AH89" s="326">
        <v>0</v>
      </c>
      <c r="AI89" s="326">
        <v>0</v>
      </c>
      <c r="AJ89" s="326">
        <v>0</v>
      </c>
      <c r="AK89" s="326">
        <v>0</v>
      </c>
      <c r="AL89" s="609">
        <f t="shared" ref="AL89:AL94" si="65">SUM(AF89:AK89)</f>
        <v>0</v>
      </c>
      <c r="AM89" s="676">
        <f t="shared" ref="AM89:AM94" si="66">I89+AE89</f>
        <v>6443469</v>
      </c>
      <c r="AN89" s="492">
        <f t="shared" ref="AN89:AN94" si="67">J89+V89</f>
        <v>4780022</v>
      </c>
      <c r="AO89" s="573">
        <f t="shared" ref="AO89:AO94" si="68">K89+Z89</f>
        <v>0</v>
      </c>
      <c r="AP89" s="492">
        <f t="shared" ref="AP89:AR94" si="69">L89+AB89</f>
        <v>1615647</v>
      </c>
      <c r="AQ89" s="492">
        <f t="shared" si="69"/>
        <v>47800</v>
      </c>
      <c r="AR89" s="492">
        <f t="shared" si="69"/>
        <v>0</v>
      </c>
      <c r="AS89" s="609">
        <f t="shared" ref="AS89:AS94" si="70">O89+AL89</f>
        <v>8</v>
      </c>
      <c r="AT89" s="240"/>
    </row>
    <row r="90" spans="1:46" ht="12.95" customHeight="1" x14ac:dyDescent="0.25">
      <c r="A90" s="205">
        <v>19</v>
      </c>
      <c r="B90" s="246">
        <v>5453</v>
      </c>
      <c r="C90" s="247">
        <v>600099211</v>
      </c>
      <c r="D90" s="206">
        <v>854760</v>
      </c>
      <c r="E90" s="273" t="s">
        <v>428</v>
      </c>
      <c r="F90" s="246">
        <v>3113</v>
      </c>
      <c r="G90" s="270" t="s">
        <v>294</v>
      </c>
      <c r="H90" s="209" t="s">
        <v>262</v>
      </c>
      <c r="I90" s="580">
        <v>18949475</v>
      </c>
      <c r="J90" s="660">
        <v>14042585</v>
      </c>
      <c r="K90" s="660">
        <v>15000</v>
      </c>
      <c r="L90" s="55">
        <v>4751464</v>
      </c>
      <c r="M90" s="55">
        <v>140426</v>
      </c>
      <c r="N90" s="325">
        <v>0</v>
      </c>
      <c r="O90" s="719">
        <v>19.679200000000002</v>
      </c>
      <c r="P90" s="440">
        <f t="shared" si="58"/>
        <v>-10000</v>
      </c>
      <c r="Q90" s="573">
        <v>0</v>
      </c>
      <c r="R90" s="325">
        <v>0</v>
      </c>
      <c r="S90" s="325">
        <v>0</v>
      </c>
      <c r="T90" s="325">
        <v>0</v>
      </c>
      <c r="U90" s="325">
        <v>0</v>
      </c>
      <c r="V90" s="492">
        <f t="shared" si="59"/>
        <v>-10000</v>
      </c>
      <c r="W90" s="325">
        <v>10000</v>
      </c>
      <c r="X90" s="325">
        <v>0</v>
      </c>
      <c r="Y90" s="325">
        <v>0</v>
      </c>
      <c r="Z90" s="492">
        <f t="shared" si="60"/>
        <v>10000</v>
      </c>
      <c r="AA90" s="492">
        <f t="shared" si="61"/>
        <v>0</v>
      </c>
      <c r="AB90" s="494">
        <f t="shared" si="62"/>
        <v>0</v>
      </c>
      <c r="AC90" s="494">
        <f t="shared" si="63"/>
        <v>-100</v>
      </c>
      <c r="AD90" s="492">
        <v>0</v>
      </c>
      <c r="AE90" s="753">
        <f t="shared" si="64"/>
        <v>-100</v>
      </c>
      <c r="AF90" s="688">
        <v>-9.9999999999999985E-3</v>
      </c>
      <c r="AG90" s="576">
        <v>0</v>
      </c>
      <c r="AH90" s="326">
        <v>0</v>
      </c>
      <c r="AI90" s="326">
        <v>0</v>
      </c>
      <c r="AJ90" s="326">
        <v>0</v>
      </c>
      <c r="AK90" s="326">
        <v>0</v>
      </c>
      <c r="AL90" s="609">
        <f t="shared" si="65"/>
        <v>-9.9999999999999985E-3</v>
      </c>
      <c r="AM90" s="676">
        <f t="shared" si="66"/>
        <v>18949375</v>
      </c>
      <c r="AN90" s="492">
        <f t="shared" si="67"/>
        <v>14032585</v>
      </c>
      <c r="AO90" s="573">
        <f t="shared" si="68"/>
        <v>25000</v>
      </c>
      <c r="AP90" s="492">
        <f t="shared" si="69"/>
        <v>4751464</v>
      </c>
      <c r="AQ90" s="492">
        <f t="shared" si="69"/>
        <v>140326</v>
      </c>
      <c r="AR90" s="492">
        <f t="shared" si="69"/>
        <v>0</v>
      </c>
      <c r="AS90" s="609">
        <f t="shared" si="70"/>
        <v>19.6692</v>
      </c>
      <c r="AT90" s="240"/>
    </row>
    <row r="91" spans="1:46" ht="12.95" customHeight="1" x14ac:dyDescent="0.25">
      <c r="A91" s="724">
        <v>19</v>
      </c>
      <c r="B91" s="713">
        <v>5453</v>
      </c>
      <c r="C91" s="714">
        <v>600099211</v>
      </c>
      <c r="D91" s="713">
        <v>854760</v>
      </c>
      <c r="E91" s="439" t="s">
        <v>428</v>
      </c>
      <c r="F91" s="713">
        <v>3113</v>
      </c>
      <c r="G91" s="721" t="s">
        <v>799</v>
      </c>
      <c r="H91" s="209" t="s">
        <v>262</v>
      </c>
      <c r="I91" s="580">
        <v>343381</v>
      </c>
      <c r="J91" s="660">
        <v>254734</v>
      </c>
      <c r="K91" s="660">
        <v>0</v>
      </c>
      <c r="L91" s="55">
        <v>86100</v>
      </c>
      <c r="M91" s="55">
        <v>2547</v>
      </c>
      <c r="N91" s="325">
        <v>0</v>
      </c>
      <c r="O91" s="719">
        <v>0.40910000000000002</v>
      </c>
      <c r="P91" s="440">
        <f>W91*-1</f>
        <v>0</v>
      </c>
      <c r="Q91" s="573">
        <v>0</v>
      </c>
      <c r="R91" s="325">
        <v>0</v>
      </c>
      <c r="S91" s="325">
        <v>0</v>
      </c>
      <c r="T91" s="325">
        <v>0</v>
      </c>
      <c r="U91" s="325">
        <v>0</v>
      </c>
      <c r="V91" s="492">
        <f t="shared" si="59"/>
        <v>0</v>
      </c>
      <c r="W91" s="325">
        <v>0</v>
      </c>
      <c r="X91" s="325">
        <v>0</v>
      </c>
      <c r="Y91" s="325">
        <v>0</v>
      </c>
      <c r="Z91" s="492">
        <f t="shared" si="60"/>
        <v>0</v>
      </c>
      <c r="AA91" s="492">
        <f t="shared" si="61"/>
        <v>0</v>
      </c>
      <c r="AB91" s="494">
        <f t="shared" si="62"/>
        <v>0</v>
      </c>
      <c r="AC91" s="494">
        <f t="shared" si="63"/>
        <v>0</v>
      </c>
      <c r="AD91" s="492">
        <v>0</v>
      </c>
      <c r="AE91" s="753">
        <f>AA91+AB91+AC91+AD91</f>
        <v>0</v>
      </c>
      <c r="AF91" s="688">
        <v>0</v>
      </c>
      <c r="AG91" s="576">
        <v>0</v>
      </c>
      <c r="AH91" s="326">
        <v>0</v>
      </c>
      <c r="AI91" s="326">
        <v>0</v>
      </c>
      <c r="AJ91" s="326">
        <v>0</v>
      </c>
      <c r="AK91" s="326">
        <v>0</v>
      </c>
      <c r="AL91" s="609">
        <f t="shared" si="65"/>
        <v>0</v>
      </c>
      <c r="AM91" s="676">
        <f t="shared" si="66"/>
        <v>343381</v>
      </c>
      <c r="AN91" s="492">
        <f t="shared" si="67"/>
        <v>254734</v>
      </c>
      <c r="AO91" s="573">
        <f t="shared" si="68"/>
        <v>0</v>
      </c>
      <c r="AP91" s="492">
        <f t="shared" si="69"/>
        <v>86100</v>
      </c>
      <c r="AQ91" s="492">
        <f t="shared" si="69"/>
        <v>2547</v>
      </c>
      <c r="AR91" s="492">
        <f t="shared" si="69"/>
        <v>0</v>
      </c>
      <c r="AS91" s="609">
        <f t="shared" si="70"/>
        <v>0.40910000000000002</v>
      </c>
      <c r="AT91" s="240"/>
    </row>
    <row r="92" spans="1:46" ht="12.95" customHeight="1" x14ac:dyDescent="0.25">
      <c r="A92" s="205">
        <v>19</v>
      </c>
      <c r="B92" s="246">
        <v>5453</v>
      </c>
      <c r="C92" s="247">
        <v>600099211</v>
      </c>
      <c r="D92" s="206">
        <v>854760</v>
      </c>
      <c r="E92" s="273" t="s">
        <v>428</v>
      </c>
      <c r="F92" s="246">
        <v>3113</v>
      </c>
      <c r="G92" s="209" t="s">
        <v>278</v>
      </c>
      <c r="H92" s="209" t="s">
        <v>263</v>
      </c>
      <c r="I92" s="580">
        <v>1278626</v>
      </c>
      <c r="J92" s="660">
        <v>948536</v>
      </c>
      <c r="K92" s="660">
        <v>0</v>
      </c>
      <c r="L92" s="55">
        <v>320605</v>
      </c>
      <c r="M92" s="55">
        <v>9485</v>
      </c>
      <c r="N92" s="325">
        <v>0</v>
      </c>
      <c r="O92" s="719">
        <v>2.13</v>
      </c>
      <c r="P92" s="440">
        <f t="shared" si="58"/>
        <v>0</v>
      </c>
      <c r="Q92" s="573">
        <v>0</v>
      </c>
      <c r="R92" s="325">
        <v>0</v>
      </c>
      <c r="S92" s="325">
        <v>0</v>
      </c>
      <c r="T92" s="325">
        <v>0</v>
      </c>
      <c r="U92" s="325">
        <v>0</v>
      </c>
      <c r="V92" s="492">
        <f t="shared" si="59"/>
        <v>0</v>
      </c>
      <c r="W92" s="325">
        <v>0</v>
      </c>
      <c r="X92" s="325">
        <v>0</v>
      </c>
      <c r="Y92" s="325">
        <v>0</v>
      </c>
      <c r="Z92" s="492">
        <f t="shared" si="60"/>
        <v>0</v>
      </c>
      <c r="AA92" s="492">
        <f t="shared" si="61"/>
        <v>0</v>
      </c>
      <c r="AB92" s="494">
        <f t="shared" si="62"/>
        <v>0</v>
      </c>
      <c r="AC92" s="494">
        <f t="shared" si="63"/>
        <v>0</v>
      </c>
      <c r="AD92" s="492">
        <v>0</v>
      </c>
      <c r="AE92" s="753">
        <f t="shared" si="64"/>
        <v>0</v>
      </c>
      <c r="AF92" s="688">
        <v>0</v>
      </c>
      <c r="AG92" s="576">
        <v>0</v>
      </c>
      <c r="AH92" s="326">
        <v>0</v>
      </c>
      <c r="AI92" s="326">
        <v>0</v>
      </c>
      <c r="AJ92" s="326">
        <v>0</v>
      </c>
      <c r="AK92" s="326">
        <v>0</v>
      </c>
      <c r="AL92" s="609">
        <f t="shared" si="65"/>
        <v>0</v>
      </c>
      <c r="AM92" s="676">
        <f t="shared" si="66"/>
        <v>1278626</v>
      </c>
      <c r="AN92" s="492">
        <f t="shared" si="67"/>
        <v>948536</v>
      </c>
      <c r="AO92" s="573">
        <f t="shared" si="68"/>
        <v>0</v>
      </c>
      <c r="AP92" s="492">
        <f t="shared" si="69"/>
        <v>320605</v>
      </c>
      <c r="AQ92" s="492">
        <f t="shared" si="69"/>
        <v>9485</v>
      </c>
      <c r="AR92" s="492">
        <f t="shared" si="69"/>
        <v>0</v>
      </c>
      <c r="AS92" s="609">
        <f t="shared" si="70"/>
        <v>2.13</v>
      </c>
      <c r="AT92" s="240"/>
    </row>
    <row r="93" spans="1:46" ht="12.95" customHeight="1" x14ac:dyDescent="0.25">
      <c r="A93" s="205">
        <v>19</v>
      </c>
      <c r="B93" s="246">
        <v>5453</v>
      </c>
      <c r="C93" s="247">
        <v>600099211</v>
      </c>
      <c r="D93" s="206">
        <v>854760</v>
      </c>
      <c r="E93" s="273" t="s">
        <v>428</v>
      </c>
      <c r="F93" s="246">
        <v>3143</v>
      </c>
      <c r="G93" s="209" t="s">
        <v>794</v>
      </c>
      <c r="H93" s="209" t="s">
        <v>262</v>
      </c>
      <c r="I93" s="580">
        <v>1915987</v>
      </c>
      <c r="J93" s="660">
        <v>1421355</v>
      </c>
      <c r="K93" s="660">
        <v>0</v>
      </c>
      <c r="L93" s="55">
        <v>480418</v>
      </c>
      <c r="M93" s="55">
        <v>14214</v>
      </c>
      <c r="N93" s="325">
        <v>0</v>
      </c>
      <c r="O93" s="719">
        <v>2.7160000000000002</v>
      </c>
      <c r="P93" s="440">
        <f t="shared" si="58"/>
        <v>0</v>
      </c>
      <c r="Q93" s="573">
        <v>0</v>
      </c>
      <c r="R93" s="325">
        <v>0</v>
      </c>
      <c r="S93" s="325">
        <v>0</v>
      </c>
      <c r="T93" s="325">
        <v>0</v>
      </c>
      <c r="U93" s="325">
        <v>0</v>
      </c>
      <c r="V93" s="492">
        <f t="shared" si="59"/>
        <v>0</v>
      </c>
      <c r="W93" s="325">
        <v>0</v>
      </c>
      <c r="X93" s="325">
        <v>0</v>
      </c>
      <c r="Y93" s="325">
        <v>0</v>
      </c>
      <c r="Z93" s="492">
        <f t="shared" si="60"/>
        <v>0</v>
      </c>
      <c r="AA93" s="492">
        <f t="shared" si="61"/>
        <v>0</v>
      </c>
      <c r="AB93" s="494">
        <f t="shared" si="62"/>
        <v>0</v>
      </c>
      <c r="AC93" s="494">
        <f t="shared" si="63"/>
        <v>0</v>
      </c>
      <c r="AD93" s="492">
        <v>0</v>
      </c>
      <c r="AE93" s="753">
        <f t="shared" si="64"/>
        <v>0</v>
      </c>
      <c r="AF93" s="688">
        <v>0</v>
      </c>
      <c r="AG93" s="576">
        <v>0</v>
      </c>
      <c r="AH93" s="326">
        <v>0</v>
      </c>
      <c r="AI93" s="326">
        <v>0</v>
      </c>
      <c r="AJ93" s="326">
        <v>0</v>
      </c>
      <c r="AK93" s="326">
        <v>0</v>
      </c>
      <c r="AL93" s="609">
        <f t="shared" si="65"/>
        <v>0</v>
      </c>
      <c r="AM93" s="676">
        <f t="shared" si="66"/>
        <v>1915987</v>
      </c>
      <c r="AN93" s="492">
        <f t="shared" si="67"/>
        <v>1421355</v>
      </c>
      <c r="AO93" s="573">
        <f t="shared" si="68"/>
        <v>0</v>
      </c>
      <c r="AP93" s="492">
        <f t="shared" si="69"/>
        <v>480418</v>
      </c>
      <c r="AQ93" s="492">
        <f t="shared" si="69"/>
        <v>14214</v>
      </c>
      <c r="AR93" s="492">
        <f t="shared" si="69"/>
        <v>0</v>
      </c>
      <c r="AS93" s="609">
        <f t="shared" si="70"/>
        <v>2.7160000000000002</v>
      </c>
      <c r="AT93" s="240"/>
    </row>
    <row r="94" spans="1:46" ht="12.95" customHeight="1" x14ac:dyDescent="0.25">
      <c r="A94" s="205">
        <v>19</v>
      </c>
      <c r="B94" s="246">
        <v>5453</v>
      </c>
      <c r="C94" s="247">
        <v>600099211</v>
      </c>
      <c r="D94" s="206">
        <v>854760</v>
      </c>
      <c r="E94" s="273" t="s">
        <v>428</v>
      </c>
      <c r="F94" s="246">
        <v>3143</v>
      </c>
      <c r="G94" s="270" t="s">
        <v>429</v>
      </c>
      <c r="H94" s="209" t="s">
        <v>263</v>
      </c>
      <c r="I94" s="580">
        <v>323417</v>
      </c>
      <c r="J94" s="660">
        <v>239924</v>
      </c>
      <c r="K94" s="660">
        <v>0</v>
      </c>
      <c r="L94" s="55">
        <v>81094</v>
      </c>
      <c r="M94" s="55">
        <v>2399</v>
      </c>
      <c r="N94" s="325">
        <v>0</v>
      </c>
      <c r="O94" s="719">
        <v>0.45</v>
      </c>
      <c r="P94" s="440">
        <f t="shared" si="58"/>
        <v>0</v>
      </c>
      <c r="Q94" s="573">
        <v>0</v>
      </c>
      <c r="R94" s="325">
        <v>0</v>
      </c>
      <c r="S94" s="325">
        <v>0</v>
      </c>
      <c r="T94" s="325">
        <v>0</v>
      </c>
      <c r="U94" s="325">
        <v>0</v>
      </c>
      <c r="V94" s="492">
        <f t="shared" si="59"/>
        <v>0</v>
      </c>
      <c r="W94" s="325">
        <v>0</v>
      </c>
      <c r="X94" s="325">
        <v>0</v>
      </c>
      <c r="Y94" s="325">
        <v>0</v>
      </c>
      <c r="Z94" s="492">
        <f t="shared" si="60"/>
        <v>0</v>
      </c>
      <c r="AA94" s="492">
        <f t="shared" si="61"/>
        <v>0</v>
      </c>
      <c r="AB94" s="494">
        <f t="shared" si="62"/>
        <v>0</v>
      </c>
      <c r="AC94" s="494">
        <f t="shared" si="63"/>
        <v>0</v>
      </c>
      <c r="AD94" s="492">
        <v>0</v>
      </c>
      <c r="AE94" s="753">
        <f t="shared" si="64"/>
        <v>0</v>
      </c>
      <c r="AF94" s="688">
        <v>0</v>
      </c>
      <c r="AG94" s="576">
        <v>0</v>
      </c>
      <c r="AH94" s="326">
        <v>0</v>
      </c>
      <c r="AI94" s="326">
        <v>0</v>
      </c>
      <c r="AJ94" s="326">
        <v>0</v>
      </c>
      <c r="AK94" s="326">
        <v>0</v>
      </c>
      <c r="AL94" s="609">
        <f t="shared" si="65"/>
        <v>0</v>
      </c>
      <c r="AM94" s="676">
        <f t="shared" si="66"/>
        <v>323417</v>
      </c>
      <c r="AN94" s="492">
        <f t="shared" si="67"/>
        <v>239924</v>
      </c>
      <c r="AO94" s="573">
        <f t="shared" si="68"/>
        <v>0</v>
      </c>
      <c r="AP94" s="492">
        <f t="shared" si="69"/>
        <v>81094</v>
      </c>
      <c r="AQ94" s="492">
        <f t="shared" si="69"/>
        <v>2399</v>
      </c>
      <c r="AR94" s="492">
        <f t="shared" si="69"/>
        <v>0</v>
      </c>
      <c r="AS94" s="609">
        <f t="shared" si="70"/>
        <v>0.45</v>
      </c>
      <c r="AT94" s="240"/>
    </row>
    <row r="95" spans="1:46" ht="12.95" customHeight="1" x14ac:dyDescent="0.25">
      <c r="A95" s="198">
        <v>19</v>
      </c>
      <c r="B95" s="250">
        <v>5453</v>
      </c>
      <c r="C95" s="251">
        <v>600099211</v>
      </c>
      <c r="D95" s="250">
        <v>854760</v>
      </c>
      <c r="E95" s="274" t="s">
        <v>430</v>
      </c>
      <c r="F95" s="250"/>
      <c r="G95" s="275"/>
      <c r="H95" s="563"/>
      <c r="I95" s="646">
        <v>29254355</v>
      </c>
      <c r="J95" s="646">
        <v>21687156</v>
      </c>
      <c r="K95" s="646">
        <v>15000</v>
      </c>
      <c r="L95" s="646">
        <v>7335328</v>
      </c>
      <c r="M95" s="646">
        <v>216871</v>
      </c>
      <c r="N95" s="355">
        <v>0</v>
      </c>
      <c r="O95" s="722">
        <v>33.384300000000003</v>
      </c>
      <c r="P95" s="442">
        <f t="shared" ref="P95:AS95" si="71">SUM(P89:P94)</f>
        <v>-10000</v>
      </c>
      <c r="Q95" s="442">
        <f t="shared" si="71"/>
        <v>0</v>
      </c>
      <c r="R95" s="355">
        <f t="shared" si="71"/>
        <v>0</v>
      </c>
      <c r="S95" s="355">
        <f t="shared" si="71"/>
        <v>0</v>
      </c>
      <c r="T95" s="355">
        <f t="shared" si="71"/>
        <v>0</v>
      </c>
      <c r="U95" s="355">
        <f t="shared" si="71"/>
        <v>0</v>
      </c>
      <c r="V95" s="355">
        <f t="shared" si="71"/>
        <v>-10000</v>
      </c>
      <c r="W95" s="355">
        <f t="shared" si="71"/>
        <v>10000</v>
      </c>
      <c r="X95" s="355">
        <f t="shared" si="71"/>
        <v>0</v>
      </c>
      <c r="Y95" s="355">
        <f t="shared" si="71"/>
        <v>0</v>
      </c>
      <c r="Z95" s="355">
        <f t="shared" si="71"/>
        <v>10000</v>
      </c>
      <c r="AA95" s="355">
        <f t="shared" si="71"/>
        <v>0</v>
      </c>
      <c r="AB95" s="355">
        <f t="shared" si="71"/>
        <v>0</v>
      </c>
      <c r="AC95" s="355">
        <f t="shared" si="71"/>
        <v>-100</v>
      </c>
      <c r="AD95" s="355">
        <f t="shared" si="71"/>
        <v>0</v>
      </c>
      <c r="AE95" s="665">
        <f t="shared" si="71"/>
        <v>-100</v>
      </c>
      <c r="AF95" s="802">
        <f t="shared" si="71"/>
        <v>-9.9999999999999985E-3</v>
      </c>
      <c r="AG95" s="356">
        <f t="shared" si="71"/>
        <v>0</v>
      </c>
      <c r="AH95" s="356">
        <f t="shared" si="71"/>
        <v>0</v>
      </c>
      <c r="AI95" s="356">
        <f t="shared" si="71"/>
        <v>0</v>
      </c>
      <c r="AJ95" s="356">
        <f t="shared" si="71"/>
        <v>0</v>
      </c>
      <c r="AK95" s="356">
        <f t="shared" si="71"/>
        <v>0</v>
      </c>
      <c r="AL95" s="253">
        <f t="shared" si="71"/>
        <v>-9.9999999999999985E-3</v>
      </c>
      <c r="AM95" s="668">
        <f t="shared" si="71"/>
        <v>29254255</v>
      </c>
      <c r="AN95" s="442">
        <f t="shared" si="71"/>
        <v>21677156</v>
      </c>
      <c r="AO95" s="355">
        <f t="shared" si="71"/>
        <v>25000</v>
      </c>
      <c r="AP95" s="355">
        <f t="shared" si="71"/>
        <v>7335328</v>
      </c>
      <c r="AQ95" s="355">
        <f t="shared" si="71"/>
        <v>216771</v>
      </c>
      <c r="AR95" s="355">
        <f t="shared" si="71"/>
        <v>0</v>
      </c>
      <c r="AS95" s="253">
        <f t="shared" si="71"/>
        <v>33.374299999999998</v>
      </c>
      <c r="AT95" s="240"/>
    </row>
    <row r="96" spans="1:46" ht="12.95" customHeight="1" x14ac:dyDescent="0.25">
      <c r="A96" s="205">
        <v>20</v>
      </c>
      <c r="B96" s="206">
        <v>5429</v>
      </c>
      <c r="C96" s="255">
        <v>600098656</v>
      </c>
      <c r="D96" s="206">
        <v>70698309</v>
      </c>
      <c r="E96" s="208" t="s">
        <v>431</v>
      </c>
      <c r="F96" s="206">
        <v>3111</v>
      </c>
      <c r="G96" s="270" t="s">
        <v>290</v>
      </c>
      <c r="H96" s="209" t="s">
        <v>262</v>
      </c>
      <c r="I96" s="580">
        <v>2989415</v>
      </c>
      <c r="J96" s="660">
        <v>2217667</v>
      </c>
      <c r="K96" s="660">
        <v>0</v>
      </c>
      <c r="L96" s="55">
        <v>749571</v>
      </c>
      <c r="M96" s="55">
        <v>22177</v>
      </c>
      <c r="N96" s="325">
        <v>0</v>
      </c>
      <c r="O96" s="719">
        <v>4</v>
      </c>
      <c r="P96" s="445">
        <f>W96*-1</f>
        <v>0</v>
      </c>
      <c r="Q96" s="573">
        <v>0</v>
      </c>
      <c r="R96" s="325">
        <v>0</v>
      </c>
      <c r="S96" s="325">
        <v>0</v>
      </c>
      <c r="T96" s="325">
        <v>0</v>
      </c>
      <c r="U96" s="325">
        <v>0</v>
      </c>
      <c r="V96" s="492">
        <f>P96+Q96+R96+S96+T96+U96</f>
        <v>0</v>
      </c>
      <c r="W96" s="325">
        <v>0</v>
      </c>
      <c r="X96" s="325">
        <v>0</v>
      </c>
      <c r="Y96" s="325">
        <v>0</v>
      </c>
      <c r="Z96" s="492">
        <f>W96+X96+Y96</f>
        <v>0</v>
      </c>
      <c r="AA96" s="492">
        <f>V96+Z96</f>
        <v>0</v>
      </c>
      <c r="AB96" s="494">
        <f>ROUND((V96+Z96)*33.8%,0)</f>
        <v>0</v>
      </c>
      <c r="AC96" s="494">
        <f>ROUND(V96*1%,0)</f>
        <v>0</v>
      </c>
      <c r="AD96" s="492">
        <v>0</v>
      </c>
      <c r="AE96" s="753">
        <f t="shared" ref="AE96:AE97" si="72">AA96+AB96+AC96+AD96</f>
        <v>0</v>
      </c>
      <c r="AF96" s="688">
        <v>0</v>
      </c>
      <c r="AG96" s="576">
        <v>0</v>
      </c>
      <c r="AH96" s="326">
        <v>0</v>
      </c>
      <c r="AI96" s="326">
        <v>0</v>
      </c>
      <c r="AJ96" s="326">
        <v>0</v>
      </c>
      <c r="AK96" s="326">
        <v>0</v>
      </c>
      <c r="AL96" s="609">
        <f>SUM(AF96:AK96)</f>
        <v>0</v>
      </c>
      <c r="AM96" s="676">
        <f>I96+AE96</f>
        <v>2989415</v>
      </c>
      <c r="AN96" s="492">
        <f>J96+V96</f>
        <v>2217667</v>
      </c>
      <c r="AO96" s="573">
        <f>K96+Z96</f>
        <v>0</v>
      </c>
      <c r="AP96" s="492">
        <f t="shared" ref="AP96:AR97" si="73">L96+AB96</f>
        <v>749571</v>
      </c>
      <c r="AQ96" s="492">
        <f t="shared" si="73"/>
        <v>22177</v>
      </c>
      <c r="AR96" s="492">
        <f t="shared" si="73"/>
        <v>0</v>
      </c>
      <c r="AS96" s="609">
        <f>O96+AL96</f>
        <v>4</v>
      </c>
      <c r="AT96" s="240"/>
    </row>
    <row r="97" spans="1:46" ht="12.95" customHeight="1" x14ac:dyDescent="0.25">
      <c r="A97" s="205">
        <v>20</v>
      </c>
      <c r="B97" s="246">
        <v>5429</v>
      </c>
      <c r="C97" s="247">
        <v>600098656</v>
      </c>
      <c r="D97" s="206">
        <v>70698309</v>
      </c>
      <c r="E97" s="273" t="s">
        <v>431</v>
      </c>
      <c r="F97" s="206">
        <v>3111</v>
      </c>
      <c r="G97" s="209" t="s">
        <v>278</v>
      </c>
      <c r="H97" s="209" t="s">
        <v>263</v>
      </c>
      <c r="I97" s="580">
        <v>0</v>
      </c>
      <c r="J97" s="660">
        <v>0</v>
      </c>
      <c r="K97" s="660">
        <v>0</v>
      </c>
      <c r="L97" s="55">
        <v>0</v>
      </c>
      <c r="M97" s="55">
        <v>0</v>
      </c>
      <c r="N97" s="325">
        <v>0</v>
      </c>
      <c r="O97" s="719">
        <v>0</v>
      </c>
      <c r="P97" s="440">
        <f>W97*-1</f>
        <v>0</v>
      </c>
      <c r="Q97" s="573">
        <v>0</v>
      </c>
      <c r="R97" s="325">
        <v>0</v>
      </c>
      <c r="S97" s="325">
        <v>0</v>
      </c>
      <c r="T97" s="325">
        <v>0</v>
      </c>
      <c r="U97" s="325">
        <v>0</v>
      </c>
      <c r="V97" s="492">
        <f>P97+Q97+R97+S97+T97+U97</f>
        <v>0</v>
      </c>
      <c r="W97" s="325">
        <v>0</v>
      </c>
      <c r="X97" s="325">
        <v>0</v>
      </c>
      <c r="Y97" s="325">
        <v>0</v>
      </c>
      <c r="Z97" s="492">
        <f>W97+X97+Y97</f>
        <v>0</v>
      </c>
      <c r="AA97" s="492">
        <f>V97+Z97</f>
        <v>0</v>
      </c>
      <c r="AB97" s="494">
        <f>ROUND((V97+Z97)*33.8%,0)</f>
        <v>0</v>
      </c>
      <c r="AC97" s="494">
        <f>ROUND(V97*1%,0)</f>
        <v>0</v>
      </c>
      <c r="AD97" s="492">
        <v>0</v>
      </c>
      <c r="AE97" s="753">
        <f t="shared" si="72"/>
        <v>0</v>
      </c>
      <c r="AF97" s="688">
        <v>0</v>
      </c>
      <c r="AG97" s="576">
        <v>0</v>
      </c>
      <c r="AH97" s="326">
        <v>0</v>
      </c>
      <c r="AI97" s="326">
        <v>0</v>
      </c>
      <c r="AJ97" s="326">
        <v>0</v>
      </c>
      <c r="AK97" s="326">
        <v>0</v>
      </c>
      <c r="AL97" s="609">
        <f>SUM(AF97:AK97)</f>
        <v>0</v>
      </c>
      <c r="AM97" s="676">
        <f>I97+AE97</f>
        <v>0</v>
      </c>
      <c r="AN97" s="492">
        <f>J97+V97</f>
        <v>0</v>
      </c>
      <c r="AO97" s="573">
        <f>K97+Z97</f>
        <v>0</v>
      </c>
      <c r="AP97" s="492">
        <f t="shared" si="73"/>
        <v>0</v>
      </c>
      <c r="AQ97" s="492">
        <f t="shared" si="73"/>
        <v>0</v>
      </c>
      <c r="AR97" s="492">
        <f t="shared" si="73"/>
        <v>0</v>
      </c>
      <c r="AS97" s="609">
        <f>O97+AL97</f>
        <v>0</v>
      </c>
      <c r="AT97" s="240"/>
    </row>
    <row r="98" spans="1:46" ht="12.95" customHeight="1" x14ac:dyDescent="0.25">
      <c r="A98" s="198">
        <v>20</v>
      </c>
      <c r="B98" s="250">
        <v>5429</v>
      </c>
      <c r="C98" s="251">
        <v>600098656</v>
      </c>
      <c r="D98" s="250">
        <v>70698309</v>
      </c>
      <c r="E98" s="274" t="s">
        <v>432</v>
      </c>
      <c r="F98" s="250"/>
      <c r="G98" s="275"/>
      <c r="H98" s="563"/>
      <c r="I98" s="646">
        <v>2989415</v>
      </c>
      <c r="J98" s="661">
        <v>2217667</v>
      </c>
      <c r="K98" s="661">
        <v>0</v>
      </c>
      <c r="L98" s="355">
        <v>749571</v>
      </c>
      <c r="M98" s="355">
        <v>22177</v>
      </c>
      <c r="N98" s="355">
        <v>0</v>
      </c>
      <c r="O98" s="720">
        <v>4</v>
      </c>
      <c r="P98" s="442">
        <f t="shared" ref="P98:AS98" si="74">SUM(P96:P97)</f>
        <v>0</v>
      </c>
      <c r="Q98" s="442">
        <f t="shared" si="74"/>
        <v>0</v>
      </c>
      <c r="R98" s="355">
        <f t="shared" si="74"/>
        <v>0</v>
      </c>
      <c r="S98" s="355">
        <f t="shared" si="74"/>
        <v>0</v>
      </c>
      <c r="T98" s="355">
        <f t="shared" si="74"/>
        <v>0</v>
      </c>
      <c r="U98" s="355">
        <f t="shared" si="74"/>
        <v>0</v>
      </c>
      <c r="V98" s="355">
        <f t="shared" si="74"/>
        <v>0</v>
      </c>
      <c r="W98" s="355">
        <f t="shared" si="74"/>
        <v>0</v>
      </c>
      <c r="X98" s="355">
        <f t="shared" si="74"/>
        <v>0</v>
      </c>
      <c r="Y98" s="355">
        <f t="shared" si="74"/>
        <v>0</v>
      </c>
      <c r="Z98" s="355">
        <f t="shared" si="74"/>
        <v>0</v>
      </c>
      <c r="AA98" s="355">
        <f t="shared" si="74"/>
        <v>0</v>
      </c>
      <c r="AB98" s="355">
        <f t="shared" si="74"/>
        <v>0</v>
      </c>
      <c r="AC98" s="355">
        <f t="shared" si="74"/>
        <v>0</v>
      </c>
      <c r="AD98" s="355">
        <f t="shared" si="74"/>
        <v>0</v>
      </c>
      <c r="AE98" s="665">
        <f t="shared" si="74"/>
        <v>0</v>
      </c>
      <c r="AF98" s="802">
        <f t="shared" si="74"/>
        <v>0</v>
      </c>
      <c r="AG98" s="356">
        <f t="shared" si="74"/>
        <v>0</v>
      </c>
      <c r="AH98" s="356">
        <f t="shared" si="74"/>
        <v>0</v>
      </c>
      <c r="AI98" s="356">
        <f t="shared" si="74"/>
        <v>0</v>
      </c>
      <c r="AJ98" s="356">
        <f t="shared" si="74"/>
        <v>0</v>
      </c>
      <c r="AK98" s="356">
        <f t="shared" si="74"/>
        <v>0</v>
      </c>
      <c r="AL98" s="253">
        <f t="shared" si="74"/>
        <v>0</v>
      </c>
      <c r="AM98" s="668">
        <f t="shared" si="74"/>
        <v>2989415</v>
      </c>
      <c r="AN98" s="442">
        <f t="shared" si="74"/>
        <v>2217667</v>
      </c>
      <c r="AO98" s="355">
        <f t="shared" si="74"/>
        <v>0</v>
      </c>
      <c r="AP98" s="355">
        <f t="shared" si="74"/>
        <v>749571</v>
      </c>
      <c r="AQ98" s="355">
        <f t="shared" si="74"/>
        <v>22177</v>
      </c>
      <c r="AR98" s="355">
        <f t="shared" si="74"/>
        <v>0</v>
      </c>
      <c r="AS98" s="253">
        <f t="shared" si="74"/>
        <v>4</v>
      </c>
      <c r="AT98" s="240"/>
    </row>
    <row r="99" spans="1:46" ht="12.95" customHeight="1" x14ac:dyDescent="0.25">
      <c r="A99" s="205">
        <v>21</v>
      </c>
      <c r="B99" s="246">
        <v>5468</v>
      </c>
      <c r="C99" s="247">
        <v>600099083</v>
      </c>
      <c r="D99" s="206">
        <v>70698317</v>
      </c>
      <c r="E99" s="273" t="s">
        <v>433</v>
      </c>
      <c r="F99" s="246">
        <v>3117</v>
      </c>
      <c r="G99" s="270" t="s">
        <v>294</v>
      </c>
      <c r="H99" s="209" t="s">
        <v>262</v>
      </c>
      <c r="I99" s="580">
        <v>2738758</v>
      </c>
      <c r="J99" s="660">
        <v>2031720</v>
      </c>
      <c r="K99" s="660">
        <v>0</v>
      </c>
      <c r="L99" s="55">
        <v>686721</v>
      </c>
      <c r="M99" s="55">
        <v>20317</v>
      </c>
      <c r="N99" s="325">
        <v>0</v>
      </c>
      <c r="O99" s="719">
        <v>2.9544999999999999</v>
      </c>
      <c r="P99" s="445">
        <f>W99*-1</f>
        <v>0</v>
      </c>
      <c r="Q99" s="573">
        <v>0</v>
      </c>
      <c r="R99" s="325">
        <v>0</v>
      </c>
      <c r="S99" s="325">
        <v>0</v>
      </c>
      <c r="T99" s="325">
        <v>0</v>
      </c>
      <c r="U99" s="325">
        <v>0</v>
      </c>
      <c r="V99" s="492">
        <f>P99+Q99+R99+S99+T99+U99</f>
        <v>0</v>
      </c>
      <c r="W99" s="325">
        <v>0</v>
      </c>
      <c r="X99" s="325">
        <v>0</v>
      </c>
      <c r="Y99" s="325">
        <v>0</v>
      </c>
      <c r="Z99" s="492">
        <f>W99+X99+Y99</f>
        <v>0</v>
      </c>
      <c r="AA99" s="492">
        <f>V99+Z99</f>
        <v>0</v>
      </c>
      <c r="AB99" s="494">
        <f>ROUND((V99+Z99)*33.8%,0)</f>
        <v>0</v>
      </c>
      <c r="AC99" s="494">
        <f>ROUND(V99*1%,0)</f>
        <v>0</v>
      </c>
      <c r="AD99" s="492">
        <v>0</v>
      </c>
      <c r="AE99" s="753">
        <f t="shared" ref="AE99:AE101" si="75">AA99+AB99+AC99+AD99</f>
        <v>0</v>
      </c>
      <c r="AF99" s="688">
        <v>0</v>
      </c>
      <c r="AG99" s="576">
        <v>0</v>
      </c>
      <c r="AH99" s="326">
        <v>0</v>
      </c>
      <c r="AI99" s="326">
        <v>0</v>
      </c>
      <c r="AJ99" s="326">
        <v>0</v>
      </c>
      <c r="AK99" s="326">
        <v>0</v>
      </c>
      <c r="AL99" s="609">
        <f>SUM(AF99:AK99)</f>
        <v>0</v>
      </c>
      <c r="AM99" s="676">
        <f>I99+AE99</f>
        <v>2738758</v>
      </c>
      <c r="AN99" s="492">
        <f>J99+V99</f>
        <v>2031720</v>
      </c>
      <c r="AO99" s="573">
        <f>K99+Z99</f>
        <v>0</v>
      </c>
      <c r="AP99" s="492">
        <f t="shared" ref="AP99:AR101" si="76">L99+AB99</f>
        <v>686721</v>
      </c>
      <c r="AQ99" s="492">
        <f t="shared" si="76"/>
        <v>20317</v>
      </c>
      <c r="AR99" s="492">
        <f t="shared" si="76"/>
        <v>0</v>
      </c>
      <c r="AS99" s="609">
        <f>O99+AL99</f>
        <v>2.9544999999999999</v>
      </c>
      <c r="AT99" s="240"/>
    </row>
    <row r="100" spans="1:46" ht="12.95" customHeight="1" x14ac:dyDescent="0.25">
      <c r="A100" s="205">
        <v>21</v>
      </c>
      <c r="B100" s="246">
        <v>5468</v>
      </c>
      <c r="C100" s="247">
        <v>600099083</v>
      </c>
      <c r="D100" s="206">
        <v>70698317</v>
      </c>
      <c r="E100" s="273" t="s">
        <v>433</v>
      </c>
      <c r="F100" s="246">
        <v>3117</v>
      </c>
      <c r="G100" s="209" t="s">
        <v>278</v>
      </c>
      <c r="H100" s="209" t="s">
        <v>263</v>
      </c>
      <c r="I100" s="580">
        <v>35709</v>
      </c>
      <c r="J100" s="660">
        <v>26490</v>
      </c>
      <c r="K100" s="660">
        <v>0</v>
      </c>
      <c r="L100" s="55">
        <v>8954</v>
      </c>
      <c r="M100" s="55">
        <v>265</v>
      </c>
      <c r="N100" s="325">
        <v>0</v>
      </c>
      <c r="O100" s="719">
        <v>0.05</v>
      </c>
      <c r="P100" s="440">
        <f>W100*-1</f>
        <v>0</v>
      </c>
      <c r="Q100" s="573">
        <v>0</v>
      </c>
      <c r="R100" s="325">
        <v>0</v>
      </c>
      <c r="S100" s="325">
        <v>0</v>
      </c>
      <c r="T100" s="325">
        <v>0</v>
      </c>
      <c r="U100" s="325">
        <v>0</v>
      </c>
      <c r="V100" s="492">
        <f>P100+Q100+R100+S100+T100+U100</f>
        <v>0</v>
      </c>
      <c r="W100" s="325">
        <v>0</v>
      </c>
      <c r="X100" s="325">
        <v>0</v>
      </c>
      <c r="Y100" s="325">
        <v>0</v>
      </c>
      <c r="Z100" s="492">
        <f>W100+X100+Y100</f>
        <v>0</v>
      </c>
      <c r="AA100" s="492">
        <f>V100+Z100</f>
        <v>0</v>
      </c>
      <c r="AB100" s="494">
        <f>ROUND((V100+Z100)*33.8%,0)</f>
        <v>0</v>
      </c>
      <c r="AC100" s="494">
        <f>ROUND(V100*1%,0)</f>
        <v>0</v>
      </c>
      <c r="AD100" s="492">
        <v>0</v>
      </c>
      <c r="AE100" s="753">
        <f t="shared" si="75"/>
        <v>0</v>
      </c>
      <c r="AF100" s="688">
        <v>0</v>
      </c>
      <c r="AG100" s="576">
        <v>0</v>
      </c>
      <c r="AH100" s="326">
        <v>0</v>
      </c>
      <c r="AI100" s="326">
        <v>0</v>
      </c>
      <c r="AJ100" s="326">
        <v>0</v>
      </c>
      <c r="AK100" s="326">
        <v>0</v>
      </c>
      <c r="AL100" s="609">
        <f>SUM(AF100:AK100)</f>
        <v>0</v>
      </c>
      <c r="AM100" s="676">
        <f>I100+AE100</f>
        <v>35709</v>
      </c>
      <c r="AN100" s="492">
        <f>J100+V100</f>
        <v>26490</v>
      </c>
      <c r="AO100" s="573">
        <f>K100+Z100</f>
        <v>0</v>
      </c>
      <c r="AP100" s="492">
        <f t="shared" si="76"/>
        <v>8954</v>
      </c>
      <c r="AQ100" s="492">
        <f t="shared" si="76"/>
        <v>265</v>
      </c>
      <c r="AR100" s="492">
        <f t="shared" si="76"/>
        <v>0</v>
      </c>
      <c r="AS100" s="609">
        <f>O100+AL100</f>
        <v>0.05</v>
      </c>
      <c r="AT100" s="240"/>
    </row>
    <row r="101" spans="1:46" ht="12.95" customHeight="1" x14ac:dyDescent="0.25">
      <c r="A101" s="205">
        <v>21</v>
      </c>
      <c r="B101" s="246">
        <v>5468</v>
      </c>
      <c r="C101" s="247">
        <v>600099083</v>
      </c>
      <c r="D101" s="206">
        <v>70698317</v>
      </c>
      <c r="E101" s="273" t="s">
        <v>433</v>
      </c>
      <c r="F101" s="246">
        <v>3143</v>
      </c>
      <c r="G101" s="209" t="s">
        <v>795</v>
      </c>
      <c r="H101" s="209" t="s">
        <v>262</v>
      </c>
      <c r="I101" s="580">
        <v>762385</v>
      </c>
      <c r="J101" s="660">
        <v>565567</v>
      </c>
      <c r="K101" s="660">
        <v>0</v>
      </c>
      <c r="L101" s="55">
        <v>191162</v>
      </c>
      <c r="M101" s="55">
        <v>5656</v>
      </c>
      <c r="N101" s="325">
        <v>0</v>
      </c>
      <c r="O101" s="719">
        <v>1</v>
      </c>
      <c r="P101" s="440">
        <f>W101*-1</f>
        <v>0</v>
      </c>
      <c r="Q101" s="573">
        <v>0</v>
      </c>
      <c r="R101" s="325">
        <v>0</v>
      </c>
      <c r="S101" s="325">
        <v>0</v>
      </c>
      <c r="T101" s="325">
        <v>0</v>
      </c>
      <c r="U101" s="325">
        <v>0</v>
      </c>
      <c r="V101" s="492">
        <f>P101+Q101+R101+S101+T101+U101</f>
        <v>0</v>
      </c>
      <c r="W101" s="325">
        <v>0</v>
      </c>
      <c r="X101" s="325">
        <v>0</v>
      </c>
      <c r="Y101" s="325">
        <v>0</v>
      </c>
      <c r="Z101" s="492">
        <f>W101+X101+Y101</f>
        <v>0</v>
      </c>
      <c r="AA101" s="492">
        <f>V101+Z101</f>
        <v>0</v>
      </c>
      <c r="AB101" s="494">
        <f>ROUND((V101+Z101)*33.8%,0)</f>
        <v>0</v>
      </c>
      <c r="AC101" s="494">
        <f>ROUND(V101*1%,0)</f>
        <v>0</v>
      </c>
      <c r="AD101" s="492">
        <v>0</v>
      </c>
      <c r="AE101" s="753">
        <f t="shared" si="75"/>
        <v>0</v>
      </c>
      <c r="AF101" s="688">
        <v>0</v>
      </c>
      <c r="AG101" s="576">
        <v>0</v>
      </c>
      <c r="AH101" s="326">
        <v>0</v>
      </c>
      <c r="AI101" s="326">
        <v>0</v>
      </c>
      <c r="AJ101" s="326">
        <v>0</v>
      </c>
      <c r="AK101" s="326">
        <v>0</v>
      </c>
      <c r="AL101" s="609">
        <f>SUM(AF101:AK101)</f>
        <v>0</v>
      </c>
      <c r="AM101" s="676">
        <f>I101+AE101</f>
        <v>762385</v>
      </c>
      <c r="AN101" s="492">
        <f>J101+V101</f>
        <v>565567</v>
      </c>
      <c r="AO101" s="573">
        <f>K101+Z101</f>
        <v>0</v>
      </c>
      <c r="AP101" s="492">
        <f t="shared" si="76"/>
        <v>191162</v>
      </c>
      <c r="AQ101" s="492">
        <f t="shared" si="76"/>
        <v>5656</v>
      </c>
      <c r="AR101" s="492">
        <f t="shared" si="76"/>
        <v>0</v>
      </c>
      <c r="AS101" s="609">
        <f>O101+AL101</f>
        <v>1</v>
      </c>
      <c r="AT101" s="240"/>
    </row>
    <row r="102" spans="1:46" ht="12.95" customHeight="1" x14ac:dyDescent="0.25">
      <c r="A102" s="198">
        <v>21</v>
      </c>
      <c r="B102" s="250">
        <v>5468</v>
      </c>
      <c r="C102" s="251">
        <v>600099083</v>
      </c>
      <c r="D102" s="250">
        <v>70698317</v>
      </c>
      <c r="E102" s="274" t="s">
        <v>434</v>
      </c>
      <c r="F102" s="250"/>
      <c r="G102" s="275"/>
      <c r="H102" s="563"/>
      <c r="I102" s="646">
        <v>3536852</v>
      </c>
      <c r="J102" s="661">
        <v>2623777</v>
      </c>
      <c r="K102" s="661">
        <v>0</v>
      </c>
      <c r="L102" s="355">
        <v>886837</v>
      </c>
      <c r="M102" s="355">
        <v>26238</v>
      </c>
      <c r="N102" s="355">
        <v>0</v>
      </c>
      <c r="O102" s="720">
        <v>4.0045000000000002</v>
      </c>
      <c r="P102" s="442">
        <f t="shared" ref="P102:AS102" si="77">SUM(P99:P101)</f>
        <v>0</v>
      </c>
      <c r="Q102" s="442">
        <f t="shared" si="77"/>
        <v>0</v>
      </c>
      <c r="R102" s="355">
        <f t="shared" si="77"/>
        <v>0</v>
      </c>
      <c r="S102" s="355">
        <f t="shared" si="77"/>
        <v>0</v>
      </c>
      <c r="T102" s="355">
        <f t="shared" si="77"/>
        <v>0</v>
      </c>
      <c r="U102" s="355">
        <f t="shared" si="77"/>
        <v>0</v>
      </c>
      <c r="V102" s="355">
        <f t="shared" si="77"/>
        <v>0</v>
      </c>
      <c r="W102" s="355">
        <f t="shared" si="77"/>
        <v>0</v>
      </c>
      <c r="X102" s="355">
        <f t="shared" si="77"/>
        <v>0</v>
      </c>
      <c r="Y102" s="355">
        <f t="shared" si="77"/>
        <v>0</v>
      </c>
      <c r="Z102" s="355">
        <f t="shared" si="77"/>
        <v>0</v>
      </c>
      <c r="AA102" s="355">
        <f t="shared" si="77"/>
        <v>0</v>
      </c>
      <c r="AB102" s="355">
        <f t="shared" si="77"/>
        <v>0</v>
      </c>
      <c r="AC102" s="355">
        <f t="shared" si="77"/>
        <v>0</v>
      </c>
      <c r="AD102" s="355">
        <f t="shared" si="77"/>
        <v>0</v>
      </c>
      <c r="AE102" s="665">
        <f t="shared" si="77"/>
        <v>0</v>
      </c>
      <c r="AF102" s="802">
        <f t="shared" si="77"/>
        <v>0</v>
      </c>
      <c r="AG102" s="356">
        <f t="shared" si="77"/>
        <v>0</v>
      </c>
      <c r="AH102" s="356">
        <f t="shared" si="77"/>
        <v>0</v>
      </c>
      <c r="AI102" s="356">
        <f t="shared" si="77"/>
        <v>0</v>
      </c>
      <c r="AJ102" s="356">
        <f t="shared" si="77"/>
        <v>0</v>
      </c>
      <c r="AK102" s="356">
        <f t="shared" si="77"/>
        <v>0</v>
      </c>
      <c r="AL102" s="253">
        <f t="shared" si="77"/>
        <v>0</v>
      </c>
      <c r="AM102" s="668">
        <f t="shared" si="77"/>
        <v>3536852</v>
      </c>
      <c r="AN102" s="442">
        <f t="shared" si="77"/>
        <v>2623777</v>
      </c>
      <c r="AO102" s="355">
        <f t="shared" si="77"/>
        <v>0</v>
      </c>
      <c r="AP102" s="355">
        <f t="shared" si="77"/>
        <v>886837</v>
      </c>
      <c r="AQ102" s="355">
        <f t="shared" si="77"/>
        <v>26238</v>
      </c>
      <c r="AR102" s="355">
        <f t="shared" si="77"/>
        <v>0</v>
      </c>
      <c r="AS102" s="253">
        <f t="shared" si="77"/>
        <v>4.0045000000000002</v>
      </c>
      <c r="AT102" s="240"/>
    </row>
    <row r="103" spans="1:46" ht="12.95" customHeight="1" x14ac:dyDescent="0.25">
      <c r="A103" s="205">
        <v>22</v>
      </c>
      <c r="B103" s="246">
        <v>5488</v>
      </c>
      <c r="C103" s="247">
        <v>600099326</v>
      </c>
      <c r="D103" s="206">
        <v>70695393</v>
      </c>
      <c r="E103" s="273" t="s">
        <v>435</v>
      </c>
      <c r="F103" s="246">
        <v>3111</v>
      </c>
      <c r="G103" s="270" t="s">
        <v>290</v>
      </c>
      <c r="H103" s="209" t="s">
        <v>262</v>
      </c>
      <c r="I103" s="580">
        <v>738046</v>
      </c>
      <c r="J103" s="660">
        <v>547512</v>
      </c>
      <c r="K103" s="660">
        <v>0</v>
      </c>
      <c r="L103" s="55">
        <v>185059</v>
      </c>
      <c r="M103" s="55">
        <v>5475</v>
      </c>
      <c r="N103" s="325">
        <v>0</v>
      </c>
      <c r="O103" s="719">
        <v>1</v>
      </c>
      <c r="P103" s="445">
        <f t="shared" ref="P103:P106" si="78">W103*-1</f>
        <v>0</v>
      </c>
      <c r="Q103" s="573">
        <v>0</v>
      </c>
      <c r="R103" s="325">
        <v>0</v>
      </c>
      <c r="S103" s="325">
        <v>0</v>
      </c>
      <c r="T103" s="325">
        <v>0</v>
      </c>
      <c r="U103" s="325">
        <v>0</v>
      </c>
      <c r="V103" s="492">
        <f>P103+Q103+R103+S103+T103+U103</f>
        <v>0</v>
      </c>
      <c r="W103" s="325">
        <v>0</v>
      </c>
      <c r="X103" s="325">
        <v>0</v>
      </c>
      <c r="Y103" s="325">
        <v>0</v>
      </c>
      <c r="Z103" s="492">
        <f>W103+X103+Y103</f>
        <v>0</v>
      </c>
      <c r="AA103" s="492">
        <f>V103+Z103</f>
        <v>0</v>
      </c>
      <c r="AB103" s="494">
        <f>ROUND((V103+Z103)*33.8%,0)</f>
        <v>0</v>
      </c>
      <c r="AC103" s="494">
        <f>ROUND(V103*1%,0)</f>
        <v>0</v>
      </c>
      <c r="AD103" s="492">
        <v>0</v>
      </c>
      <c r="AE103" s="753">
        <f t="shared" ref="AE103:AE106" si="79">AA103+AB103+AC103+AD103</f>
        <v>0</v>
      </c>
      <c r="AF103" s="688">
        <v>0</v>
      </c>
      <c r="AG103" s="576">
        <v>0</v>
      </c>
      <c r="AH103" s="326">
        <v>0</v>
      </c>
      <c r="AI103" s="326">
        <v>0</v>
      </c>
      <c r="AJ103" s="326">
        <v>0</v>
      </c>
      <c r="AK103" s="326">
        <v>0</v>
      </c>
      <c r="AL103" s="609">
        <f>SUM(AF103:AK103)</f>
        <v>0</v>
      </c>
      <c r="AM103" s="676">
        <f>I103+AE103</f>
        <v>738046</v>
      </c>
      <c r="AN103" s="492">
        <f>J103+V103</f>
        <v>547512</v>
      </c>
      <c r="AO103" s="573">
        <f>K103+Z103</f>
        <v>0</v>
      </c>
      <c r="AP103" s="492">
        <f t="shared" ref="AP103:AR106" si="80">L103+AB103</f>
        <v>185059</v>
      </c>
      <c r="AQ103" s="492">
        <f t="shared" si="80"/>
        <v>5475</v>
      </c>
      <c r="AR103" s="492">
        <f t="shared" si="80"/>
        <v>0</v>
      </c>
      <c r="AS103" s="609">
        <f>O103+AL103</f>
        <v>1</v>
      </c>
      <c r="AT103" s="240"/>
    </row>
    <row r="104" spans="1:46" ht="12.95" customHeight="1" x14ac:dyDescent="0.25">
      <c r="A104" s="205">
        <v>22</v>
      </c>
      <c r="B104" s="246">
        <v>5488</v>
      </c>
      <c r="C104" s="247">
        <v>600099326</v>
      </c>
      <c r="D104" s="206">
        <v>70695393</v>
      </c>
      <c r="E104" s="273" t="s">
        <v>435</v>
      </c>
      <c r="F104" s="246">
        <v>3117</v>
      </c>
      <c r="G104" s="270" t="s">
        <v>294</v>
      </c>
      <c r="H104" s="209" t="s">
        <v>262</v>
      </c>
      <c r="I104" s="580">
        <v>1150780</v>
      </c>
      <c r="J104" s="660">
        <v>853694</v>
      </c>
      <c r="K104" s="660">
        <v>0</v>
      </c>
      <c r="L104" s="55">
        <v>288549</v>
      </c>
      <c r="M104" s="55">
        <v>8537</v>
      </c>
      <c r="N104" s="325">
        <v>0</v>
      </c>
      <c r="O104" s="719">
        <v>1.4631000000000001</v>
      </c>
      <c r="P104" s="440">
        <f t="shared" si="78"/>
        <v>0</v>
      </c>
      <c r="Q104" s="573">
        <v>0</v>
      </c>
      <c r="R104" s="325">
        <v>0</v>
      </c>
      <c r="S104" s="325">
        <v>0</v>
      </c>
      <c r="T104" s="325">
        <v>0</v>
      </c>
      <c r="U104" s="325">
        <v>0</v>
      </c>
      <c r="V104" s="492">
        <f>P104+Q104+R104+S104+T104+U104</f>
        <v>0</v>
      </c>
      <c r="W104" s="325">
        <v>0</v>
      </c>
      <c r="X104" s="325">
        <v>0</v>
      </c>
      <c r="Y104" s="325">
        <v>0</v>
      </c>
      <c r="Z104" s="492">
        <f>W104+X104+Y104</f>
        <v>0</v>
      </c>
      <c r="AA104" s="492">
        <f>V104+Z104</f>
        <v>0</v>
      </c>
      <c r="AB104" s="494">
        <f>ROUND((V104+Z104)*33.8%,0)</f>
        <v>0</v>
      </c>
      <c r="AC104" s="494">
        <f>ROUND(V104*1%,0)</f>
        <v>0</v>
      </c>
      <c r="AD104" s="492">
        <v>0</v>
      </c>
      <c r="AE104" s="753">
        <f t="shared" si="79"/>
        <v>0</v>
      </c>
      <c r="AF104" s="688">
        <v>0</v>
      </c>
      <c r="AG104" s="576">
        <v>0</v>
      </c>
      <c r="AH104" s="326">
        <v>0</v>
      </c>
      <c r="AI104" s="326">
        <v>0</v>
      </c>
      <c r="AJ104" s="326">
        <v>0</v>
      </c>
      <c r="AK104" s="326">
        <v>0</v>
      </c>
      <c r="AL104" s="609">
        <f>SUM(AF104:AK104)</f>
        <v>0</v>
      </c>
      <c r="AM104" s="676">
        <f>I104+AE104</f>
        <v>1150780</v>
      </c>
      <c r="AN104" s="492">
        <f>J104+V104</f>
        <v>853694</v>
      </c>
      <c r="AO104" s="573">
        <f>K104+Z104</f>
        <v>0</v>
      </c>
      <c r="AP104" s="492">
        <f t="shared" si="80"/>
        <v>288549</v>
      </c>
      <c r="AQ104" s="492">
        <f t="shared" si="80"/>
        <v>8537</v>
      </c>
      <c r="AR104" s="492">
        <f t="shared" si="80"/>
        <v>0</v>
      </c>
      <c r="AS104" s="609">
        <f>O104+AL104</f>
        <v>1.4631000000000001</v>
      </c>
      <c r="AT104" s="240"/>
    </row>
    <row r="105" spans="1:46" ht="12.95" customHeight="1" x14ac:dyDescent="0.25">
      <c r="A105" s="205">
        <v>22</v>
      </c>
      <c r="B105" s="246">
        <v>5488</v>
      </c>
      <c r="C105" s="247">
        <v>600099326</v>
      </c>
      <c r="D105" s="206">
        <v>70695393</v>
      </c>
      <c r="E105" s="273" t="s">
        <v>435</v>
      </c>
      <c r="F105" s="246">
        <v>3117</v>
      </c>
      <c r="G105" s="209" t="s">
        <v>278</v>
      </c>
      <c r="H105" s="209" t="s">
        <v>263</v>
      </c>
      <c r="I105" s="580">
        <v>0</v>
      </c>
      <c r="J105" s="660">
        <v>0</v>
      </c>
      <c r="K105" s="660">
        <v>0</v>
      </c>
      <c r="L105" s="55">
        <v>0</v>
      </c>
      <c r="M105" s="55">
        <v>0</v>
      </c>
      <c r="N105" s="325">
        <v>0</v>
      </c>
      <c r="O105" s="719">
        <v>0</v>
      </c>
      <c r="P105" s="440">
        <f t="shared" si="78"/>
        <v>0</v>
      </c>
      <c r="Q105" s="573">
        <v>0</v>
      </c>
      <c r="R105" s="325">
        <v>0</v>
      </c>
      <c r="S105" s="325">
        <v>0</v>
      </c>
      <c r="T105" s="325">
        <v>0</v>
      </c>
      <c r="U105" s="325">
        <v>0</v>
      </c>
      <c r="V105" s="492">
        <f>P105+Q105+R105+S105+T105+U105</f>
        <v>0</v>
      </c>
      <c r="W105" s="325">
        <v>0</v>
      </c>
      <c r="X105" s="325">
        <v>0</v>
      </c>
      <c r="Y105" s="325">
        <v>0</v>
      </c>
      <c r="Z105" s="492">
        <f>W105+X105+Y105</f>
        <v>0</v>
      </c>
      <c r="AA105" s="492">
        <f>V105+Z105</f>
        <v>0</v>
      </c>
      <c r="AB105" s="494">
        <f>ROUND((V105+Z105)*33.8%,0)</f>
        <v>0</v>
      </c>
      <c r="AC105" s="494">
        <f>ROUND(V105*1%,0)</f>
        <v>0</v>
      </c>
      <c r="AD105" s="492">
        <v>0</v>
      </c>
      <c r="AE105" s="753">
        <f t="shared" si="79"/>
        <v>0</v>
      </c>
      <c r="AF105" s="688">
        <v>0</v>
      </c>
      <c r="AG105" s="576">
        <v>0</v>
      </c>
      <c r="AH105" s="326">
        <v>0</v>
      </c>
      <c r="AI105" s="326">
        <v>0</v>
      </c>
      <c r="AJ105" s="326">
        <v>0</v>
      </c>
      <c r="AK105" s="326">
        <v>0</v>
      </c>
      <c r="AL105" s="609">
        <f>SUM(AF105:AK105)</f>
        <v>0</v>
      </c>
      <c r="AM105" s="676">
        <f>I105+AE105</f>
        <v>0</v>
      </c>
      <c r="AN105" s="492">
        <f>J105+V105</f>
        <v>0</v>
      </c>
      <c r="AO105" s="573">
        <f>K105+Z105</f>
        <v>0</v>
      </c>
      <c r="AP105" s="492">
        <f t="shared" si="80"/>
        <v>0</v>
      </c>
      <c r="AQ105" s="492">
        <f t="shared" si="80"/>
        <v>0</v>
      </c>
      <c r="AR105" s="492">
        <f t="shared" si="80"/>
        <v>0</v>
      </c>
      <c r="AS105" s="609">
        <f>O105+AL105</f>
        <v>0</v>
      </c>
      <c r="AT105" s="240"/>
    </row>
    <row r="106" spans="1:46" ht="12.95" customHeight="1" x14ac:dyDescent="0.25">
      <c r="A106" s="205">
        <v>22</v>
      </c>
      <c r="B106" s="246">
        <v>5488</v>
      </c>
      <c r="C106" s="247">
        <v>600099326</v>
      </c>
      <c r="D106" s="206">
        <v>70695393</v>
      </c>
      <c r="E106" s="273" t="s">
        <v>435</v>
      </c>
      <c r="F106" s="246">
        <v>3143</v>
      </c>
      <c r="G106" s="209" t="s">
        <v>794</v>
      </c>
      <c r="H106" s="209" t="s">
        <v>262</v>
      </c>
      <c r="I106" s="580">
        <v>496555</v>
      </c>
      <c r="J106" s="660">
        <v>368364</v>
      </c>
      <c r="K106" s="660">
        <v>0</v>
      </c>
      <c r="L106" s="55">
        <v>124507</v>
      </c>
      <c r="M106" s="55">
        <v>3684</v>
      </c>
      <c r="N106" s="325">
        <v>0</v>
      </c>
      <c r="O106" s="719">
        <v>0.8</v>
      </c>
      <c r="P106" s="440">
        <f t="shared" si="78"/>
        <v>0</v>
      </c>
      <c r="Q106" s="573">
        <v>0</v>
      </c>
      <c r="R106" s="325">
        <v>0</v>
      </c>
      <c r="S106" s="325">
        <v>0</v>
      </c>
      <c r="T106" s="325">
        <v>0</v>
      </c>
      <c r="U106" s="325">
        <v>0</v>
      </c>
      <c r="V106" s="492">
        <f>P106+Q106+R106+S106+T106+U106</f>
        <v>0</v>
      </c>
      <c r="W106" s="325">
        <v>0</v>
      </c>
      <c r="X106" s="325">
        <v>0</v>
      </c>
      <c r="Y106" s="325">
        <v>0</v>
      </c>
      <c r="Z106" s="492">
        <f>W106+X106+Y106</f>
        <v>0</v>
      </c>
      <c r="AA106" s="492">
        <f>V106+Z106</f>
        <v>0</v>
      </c>
      <c r="AB106" s="494">
        <f>ROUND((V106+Z106)*33.8%,0)</f>
        <v>0</v>
      </c>
      <c r="AC106" s="494">
        <f>ROUND(V106*1%,0)</f>
        <v>0</v>
      </c>
      <c r="AD106" s="492">
        <v>0</v>
      </c>
      <c r="AE106" s="753">
        <f t="shared" si="79"/>
        <v>0</v>
      </c>
      <c r="AF106" s="688">
        <v>0</v>
      </c>
      <c r="AG106" s="576">
        <v>0</v>
      </c>
      <c r="AH106" s="326">
        <v>0</v>
      </c>
      <c r="AI106" s="326">
        <v>0</v>
      </c>
      <c r="AJ106" s="326">
        <v>0</v>
      </c>
      <c r="AK106" s="326">
        <v>0</v>
      </c>
      <c r="AL106" s="609">
        <f>SUM(AF106:AK106)</f>
        <v>0</v>
      </c>
      <c r="AM106" s="676">
        <f>I106+AE106</f>
        <v>496555</v>
      </c>
      <c r="AN106" s="492">
        <f>J106+V106</f>
        <v>368364</v>
      </c>
      <c r="AO106" s="573">
        <f>K106+Z106</f>
        <v>0</v>
      </c>
      <c r="AP106" s="492">
        <f t="shared" si="80"/>
        <v>124507</v>
      </c>
      <c r="AQ106" s="492">
        <f t="shared" si="80"/>
        <v>3684</v>
      </c>
      <c r="AR106" s="492">
        <f t="shared" si="80"/>
        <v>0</v>
      </c>
      <c r="AS106" s="609">
        <f>O106+AL106</f>
        <v>0.8</v>
      </c>
      <c r="AT106" s="240"/>
    </row>
    <row r="107" spans="1:46" ht="12.95" customHeight="1" thickBot="1" x14ac:dyDescent="0.3">
      <c r="A107" s="225">
        <v>22</v>
      </c>
      <c r="B107" s="261">
        <v>5488</v>
      </c>
      <c r="C107" s="262">
        <v>600099326</v>
      </c>
      <c r="D107" s="261">
        <v>70695393</v>
      </c>
      <c r="E107" s="279" t="s">
        <v>436</v>
      </c>
      <c r="F107" s="261"/>
      <c r="G107" s="420"/>
      <c r="H107" s="565"/>
      <c r="I107" s="646">
        <v>2385381</v>
      </c>
      <c r="J107" s="661">
        <v>1769570</v>
      </c>
      <c r="K107" s="661">
        <v>0</v>
      </c>
      <c r="L107" s="663">
        <v>598115</v>
      </c>
      <c r="M107" s="663">
        <v>17696</v>
      </c>
      <c r="N107" s="561">
        <v>0</v>
      </c>
      <c r="O107" s="720">
        <v>3.2630999999999997</v>
      </c>
      <c r="P107" s="601">
        <f t="shared" ref="P107:AS107" si="81">SUM(P103:P106)</f>
        <v>0</v>
      </c>
      <c r="Q107" s="601">
        <f t="shared" si="81"/>
        <v>0</v>
      </c>
      <c r="R107" s="561">
        <f t="shared" si="81"/>
        <v>0</v>
      </c>
      <c r="S107" s="561">
        <f t="shared" si="81"/>
        <v>0</v>
      </c>
      <c r="T107" s="561">
        <f t="shared" si="81"/>
        <v>0</v>
      </c>
      <c r="U107" s="561">
        <f t="shared" si="81"/>
        <v>0</v>
      </c>
      <c r="V107" s="561">
        <f t="shared" si="81"/>
        <v>0</v>
      </c>
      <c r="W107" s="561">
        <f t="shared" si="81"/>
        <v>0</v>
      </c>
      <c r="X107" s="561">
        <f t="shared" si="81"/>
        <v>0</v>
      </c>
      <c r="Y107" s="561">
        <f t="shared" si="81"/>
        <v>0</v>
      </c>
      <c r="Z107" s="561">
        <f t="shared" si="81"/>
        <v>0</v>
      </c>
      <c r="AA107" s="561">
        <f t="shared" si="81"/>
        <v>0</v>
      </c>
      <c r="AB107" s="561">
        <f t="shared" si="81"/>
        <v>0</v>
      </c>
      <c r="AC107" s="561">
        <f t="shared" si="81"/>
        <v>0</v>
      </c>
      <c r="AD107" s="561">
        <f t="shared" si="81"/>
        <v>0</v>
      </c>
      <c r="AE107" s="661">
        <f t="shared" si="81"/>
        <v>0</v>
      </c>
      <c r="AF107" s="722">
        <f t="shared" si="81"/>
        <v>0</v>
      </c>
      <c r="AG107" s="599">
        <f t="shared" si="81"/>
        <v>0</v>
      </c>
      <c r="AH107" s="599">
        <f t="shared" si="81"/>
        <v>0</v>
      </c>
      <c r="AI107" s="599">
        <f t="shared" si="81"/>
        <v>0</v>
      </c>
      <c r="AJ107" s="599">
        <f t="shared" si="81"/>
        <v>0</v>
      </c>
      <c r="AK107" s="599">
        <f t="shared" si="81"/>
        <v>0</v>
      </c>
      <c r="AL107" s="600">
        <f t="shared" si="81"/>
        <v>0</v>
      </c>
      <c r="AM107" s="646">
        <f t="shared" si="81"/>
        <v>2385381</v>
      </c>
      <c r="AN107" s="601">
        <f t="shared" si="81"/>
        <v>1769570</v>
      </c>
      <c r="AO107" s="561">
        <f t="shared" si="81"/>
        <v>0</v>
      </c>
      <c r="AP107" s="561">
        <f t="shared" si="81"/>
        <v>598115</v>
      </c>
      <c r="AQ107" s="561">
        <f t="shared" si="81"/>
        <v>17696</v>
      </c>
      <c r="AR107" s="561">
        <f t="shared" si="81"/>
        <v>0</v>
      </c>
      <c r="AS107" s="600">
        <f t="shared" si="81"/>
        <v>3.2630999999999997</v>
      </c>
      <c r="AT107" s="240"/>
    </row>
    <row r="108" spans="1:46" ht="12.95" customHeight="1" thickBot="1" x14ac:dyDescent="0.3">
      <c r="A108" s="280"/>
      <c r="B108" s="281"/>
      <c r="C108" s="282"/>
      <c r="D108" s="281"/>
      <c r="E108" s="230" t="s">
        <v>734</v>
      </c>
      <c r="F108" s="281"/>
      <c r="G108" s="419"/>
      <c r="H108" s="645"/>
      <c r="I108" s="363">
        <f t="shared" ref="I108:AS108" si="82">I15+I20+I26+I28+I33+I38+I43+I49+I51+I54+I59+I64+I67+I70+I74+I77+I83+I88+I95+I98+I102+I107</f>
        <v>271005373</v>
      </c>
      <c r="J108" s="364">
        <f t="shared" si="82"/>
        <v>200730791</v>
      </c>
      <c r="K108" s="364">
        <f t="shared" si="82"/>
        <v>314100</v>
      </c>
      <c r="L108" s="432">
        <f t="shared" si="82"/>
        <v>67953175</v>
      </c>
      <c r="M108" s="432">
        <f t="shared" si="82"/>
        <v>2007307</v>
      </c>
      <c r="N108" s="364">
        <f t="shared" si="82"/>
        <v>0</v>
      </c>
      <c r="O108" s="725">
        <f t="shared" si="82"/>
        <v>322.2441</v>
      </c>
      <c r="P108" s="409">
        <f t="shared" si="82"/>
        <v>-209400</v>
      </c>
      <c r="Q108" s="364">
        <f t="shared" si="82"/>
        <v>48334</v>
      </c>
      <c r="R108" s="364">
        <f t="shared" si="82"/>
        <v>0</v>
      </c>
      <c r="S108" s="437">
        <f t="shared" si="82"/>
        <v>0</v>
      </c>
      <c r="T108" s="364">
        <f t="shared" si="82"/>
        <v>0</v>
      </c>
      <c r="U108" s="364">
        <f t="shared" si="82"/>
        <v>0</v>
      </c>
      <c r="V108" s="364">
        <f t="shared" si="82"/>
        <v>-161066</v>
      </c>
      <c r="W108" s="364">
        <f t="shared" si="82"/>
        <v>209400</v>
      </c>
      <c r="X108" s="364">
        <f t="shared" si="82"/>
        <v>0</v>
      </c>
      <c r="Y108" s="364">
        <f t="shared" si="82"/>
        <v>0</v>
      </c>
      <c r="Z108" s="364">
        <f t="shared" si="82"/>
        <v>209400</v>
      </c>
      <c r="AA108" s="364">
        <f t="shared" si="82"/>
        <v>48334</v>
      </c>
      <c r="AB108" s="364">
        <f t="shared" si="82"/>
        <v>16337</v>
      </c>
      <c r="AC108" s="364">
        <f t="shared" si="82"/>
        <v>-1611</v>
      </c>
      <c r="AD108" s="364">
        <f t="shared" si="82"/>
        <v>0</v>
      </c>
      <c r="AE108" s="800">
        <f t="shared" si="82"/>
        <v>63060</v>
      </c>
      <c r="AF108" s="874">
        <f t="shared" si="82"/>
        <v>-0.17</v>
      </c>
      <c r="AG108" s="365">
        <f t="shared" si="82"/>
        <v>0.12</v>
      </c>
      <c r="AH108" s="365">
        <f t="shared" si="82"/>
        <v>0</v>
      </c>
      <c r="AI108" s="365">
        <f t="shared" si="82"/>
        <v>0</v>
      </c>
      <c r="AJ108" s="365">
        <f t="shared" si="82"/>
        <v>0</v>
      </c>
      <c r="AK108" s="365">
        <f t="shared" si="82"/>
        <v>0</v>
      </c>
      <c r="AL108" s="598">
        <f t="shared" si="82"/>
        <v>-5.0000000000000017E-2</v>
      </c>
      <c r="AM108" s="363">
        <f t="shared" si="82"/>
        <v>271068433</v>
      </c>
      <c r="AN108" s="409">
        <f t="shared" si="82"/>
        <v>200569725</v>
      </c>
      <c r="AO108" s="364">
        <f t="shared" si="82"/>
        <v>523500</v>
      </c>
      <c r="AP108" s="364">
        <f t="shared" si="82"/>
        <v>67969512</v>
      </c>
      <c r="AQ108" s="364">
        <f t="shared" si="82"/>
        <v>2005696</v>
      </c>
      <c r="AR108" s="364">
        <f t="shared" si="82"/>
        <v>0</v>
      </c>
      <c r="AS108" s="598">
        <f t="shared" si="82"/>
        <v>322.19410000000005</v>
      </c>
    </row>
    <row r="109" spans="1:46" ht="12.95" customHeight="1" x14ac:dyDescent="0.25">
      <c r="B109" s="234"/>
      <c r="C109" s="283"/>
      <c r="D109" s="234"/>
      <c r="E109" s="235"/>
      <c r="F109" s="234"/>
      <c r="I109" s="328">
        <f>SUM(J108:N108)</f>
        <v>271005373</v>
      </c>
      <c r="J109" s="328"/>
      <c r="K109" s="328"/>
      <c r="L109" s="328"/>
      <c r="M109" s="328"/>
      <c r="N109" s="328"/>
      <c r="O109" s="709"/>
      <c r="P109" s="328">
        <f>W108</f>
        <v>209400</v>
      </c>
      <c r="Q109" s="329"/>
      <c r="R109" s="329"/>
      <c r="S109" s="329"/>
      <c r="T109" s="328"/>
      <c r="U109" s="329"/>
      <c r="V109" s="330">
        <f>SUM(P108:U108)</f>
        <v>-161066</v>
      </c>
      <c r="W109" s="330"/>
      <c r="X109" s="331"/>
      <c r="Y109" s="331"/>
      <c r="Z109" s="330">
        <f>SUM(W108:Y108)</f>
        <v>209400</v>
      </c>
      <c r="AA109" s="330">
        <f>V108+Z108</f>
        <v>48334</v>
      </c>
      <c r="AB109" s="332"/>
      <c r="AC109" s="332"/>
      <c r="AD109" s="330"/>
      <c r="AE109" s="330">
        <f>SUM(AA108:AD108)</f>
        <v>63060</v>
      </c>
      <c r="AF109" s="333"/>
      <c r="AG109" s="333"/>
      <c r="AH109" s="333"/>
      <c r="AI109" s="333"/>
      <c r="AJ109" s="381"/>
      <c r="AK109" s="333"/>
      <c r="AL109" s="381">
        <f>SUM(AF108:AK108)</f>
        <v>-5.0000000000000017E-2</v>
      </c>
      <c r="AM109" s="328">
        <f>SUM(AN108:AR108)</f>
        <v>271068433</v>
      </c>
      <c r="AN109" s="328"/>
      <c r="AO109" s="58"/>
      <c r="AP109" s="330"/>
      <c r="AQ109" s="330"/>
      <c r="AR109" s="330">
        <f>N108+AD108</f>
        <v>0</v>
      </c>
      <c r="AS109" s="329"/>
    </row>
    <row r="110" spans="1:46" ht="12.95" customHeight="1" thickBot="1" x14ac:dyDescent="0.3">
      <c r="B110" s="234"/>
      <c r="C110" s="283"/>
      <c r="D110" s="234"/>
      <c r="F110" s="234"/>
      <c r="I110" s="328">
        <f>SUM(J111:N111)</f>
        <v>271005373</v>
      </c>
      <c r="J110" s="328"/>
      <c r="K110" s="328"/>
      <c r="L110" s="328"/>
      <c r="M110" s="328"/>
      <c r="N110" s="328"/>
      <c r="O110" s="709"/>
      <c r="P110" s="328">
        <f>W111</f>
        <v>209400</v>
      </c>
      <c r="Q110" s="329"/>
      <c r="R110" s="329"/>
      <c r="S110" s="329"/>
      <c r="T110" s="328"/>
      <c r="U110" s="329"/>
      <c r="V110" s="330">
        <f>SUM(P111:U111)</f>
        <v>-161066</v>
      </c>
      <c r="W110" s="330"/>
      <c r="X110" s="331"/>
      <c r="Y110" s="331"/>
      <c r="Z110" s="330">
        <f>SUM(W111:Y111)</f>
        <v>209400</v>
      </c>
      <c r="AA110" s="330">
        <f>V111+Z111</f>
        <v>48334</v>
      </c>
      <c r="AB110" s="332"/>
      <c r="AC110" s="332"/>
      <c r="AD110" s="330"/>
      <c r="AE110" s="330">
        <f>SUM(AA111:AD111)</f>
        <v>63060</v>
      </c>
      <c r="AF110" s="333"/>
      <c r="AG110" s="333"/>
      <c r="AH110" s="333"/>
      <c r="AI110" s="333"/>
      <c r="AJ110" s="381"/>
      <c r="AK110" s="333"/>
      <c r="AL110" s="381">
        <f>SUM(AF111:AK111)</f>
        <v>-4.9999999999999989E-2</v>
      </c>
      <c r="AM110" s="328">
        <f>AN111+AO111+AP111+AQ111+AR111</f>
        <v>271068433</v>
      </c>
      <c r="AN110" s="328"/>
      <c r="AO110" s="58"/>
      <c r="AP110" s="48"/>
      <c r="AQ110" s="48"/>
      <c r="AR110" s="48"/>
      <c r="AS110" s="329"/>
    </row>
    <row r="111" spans="1:46" s="60" customFormat="1" ht="12.95" customHeight="1" thickBot="1" x14ac:dyDescent="0.3">
      <c r="D111" s="236"/>
      <c r="E111" s="237"/>
      <c r="F111" s="236"/>
      <c r="G111" s="238"/>
      <c r="H111" s="19" t="s">
        <v>0</v>
      </c>
      <c r="I111" s="363">
        <f t="shared" ref="I111:AS111" si="83">SUM(I112:I121)</f>
        <v>271005373</v>
      </c>
      <c r="J111" s="364">
        <f t="shared" si="83"/>
        <v>200730791</v>
      </c>
      <c r="K111" s="364">
        <f t="shared" si="83"/>
        <v>314100</v>
      </c>
      <c r="L111" s="364">
        <f t="shared" si="83"/>
        <v>67953175</v>
      </c>
      <c r="M111" s="364">
        <f t="shared" si="83"/>
        <v>2007307</v>
      </c>
      <c r="N111" s="364">
        <f t="shared" si="83"/>
        <v>0</v>
      </c>
      <c r="O111" s="726">
        <f t="shared" si="83"/>
        <v>322.2441</v>
      </c>
      <c r="P111" s="409">
        <f t="shared" si="83"/>
        <v>-209400</v>
      </c>
      <c r="Q111" s="364">
        <f t="shared" si="83"/>
        <v>48334</v>
      </c>
      <c r="R111" s="364">
        <f t="shared" si="83"/>
        <v>0</v>
      </c>
      <c r="S111" s="437">
        <f t="shared" si="83"/>
        <v>0</v>
      </c>
      <c r="T111" s="364">
        <f t="shared" si="83"/>
        <v>0</v>
      </c>
      <c r="U111" s="364">
        <f t="shared" si="83"/>
        <v>0</v>
      </c>
      <c r="V111" s="364">
        <f t="shared" si="83"/>
        <v>-161066</v>
      </c>
      <c r="W111" s="364">
        <f t="shared" si="83"/>
        <v>209400</v>
      </c>
      <c r="X111" s="364">
        <f t="shared" si="83"/>
        <v>0</v>
      </c>
      <c r="Y111" s="364">
        <f t="shared" si="83"/>
        <v>0</v>
      </c>
      <c r="Z111" s="364">
        <f t="shared" si="83"/>
        <v>209400</v>
      </c>
      <c r="AA111" s="364">
        <f t="shared" si="83"/>
        <v>48334</v>
      </c>
      <c r="AB111" s="364">
        <f t="shared" si="83"/>
        <v>16337</v>
      </c>
      <c r="AC111" s="364">
        <f t="shared" si="83"/>
        <v>-1611</v>
      </c>
      <c r="AD111" s="364">
        <f t="shared" si="83"/>
        <v>0</v>
      </c>
      <c r="AE111" s="800">
        <f t="shared" si="83"/>
        <v>63060</v>
      </c>
      <c r="AF111" s="804">
        <f t="shared" si="83"/>
        <v>-0.16999999999999998</v>
      </c>
      <c r="AG111" s="365">
        <f t="shared" si="83"/>
        <v>0.12</v>
      </c>
      <c r="AH111" s="365">
        <f t="shared" si="83"/>
        <v>0</v>
      </c>
      <c r="AI111" s="365">
        <f t="shared" si="83"/>
        <v>0</v>
      </c>
      <c r="AJ111" s="365">
        <f t="shared" si="83"/>
        <v>0</v>
      </c>
      <c r="AK111" s="365">
        <f t="shared" si="83"/>
        <v>0</v>
      </c>
      <c r="AL111" s="598">
        <f t="shared" si="83"/>
        <v>-4.9999999999999982E-2</v>
      </c>
      <c r="AM111" s="363">
        <f t="shared" si="83"/>
        <v>271068433</v>
      </c>
      <c r="AN111" s="364">
        <f t="shared" si="83"/>
        <v>200569725</v>
      </c>
      <c r="AO111" s="364">
        <f t="shared" si="83"/>
        <v>523500</v>
      </c>
      <c r="AP111" s="364">
        <f t="shared" si="83"/>
        <v>67969512</v>
      </c>
      <c r="AQ111" s="364">
        <f t="shared" si="83"/>
        <v>2005696</v>
      </c>
      <c r="AR111" s="364">
        <f t="shared" si="83"/>
        <v>0</v>
      </c>
      <c r="AS111" s="598">
        <f t="shared" si="83"/>
        <v>322.19409999999999</v>
      </c>
    </row>
    <row r="112" spans="1:46" s="60" customFormat="1" ht="12.95" customHeight="1" x14ac:dyDescent="0.25">
      <c r="D112" s="236"/>
      <c r="E112" s="237"/>
      <c r="F112" s="236"/>
      <c r="G112" s="238"/>
      <c r="H112" s="1">
        <v>3111</v>
      </c>
      <c r="I112" s="370">
        <f t="shared" ref="I112:AS112" si="84">SUMIF($F$12:$F$403,"=3111",I$12:I$403)</f>
        <v>61229180</v>
      </c>
      <c r="J112" s="371">
        <f t="shared" si="84"/>
        <v>45386806</v>
      </c>
      <c r="K112" s="371">
        <f t="shared" si="84"/>
        <v>35700</v>
      </c>
      <c r="L112" s="371">
        <f t="shared" si="84"/>
        <v>15352808</v>
      </c>
      <c r="M112" s="371">
        <f t="shared" si="84"/>
        <v>453866</v>
      </c>
      <c r="N112" s="371">
        <f t="shared" si="84"/>
        <v>0</v>
      </c>
      <c r="O112" s="710">
        <f t="shared" si="84"/>
        <v>78.012799999999999</v>
      </c>
      <c r="P112" s="372">
        <f t="shared" si="84"/>
        <v>-23800</v>
      </c>
      <c r="Q112" s="371">
        <f t="shared" si="84"/>
        <v>0</v>
      </c>
      <c r="R112" s="371">
        <f t="shared" si="84"/>
        <v>0</v>
      </c>
      <c r="S112" s="371">
        <f t="shared" si="84"/>
        <v>0</v>
      </c>
      <c r="T112" s="371">
        <f t="shared" si="84"/>
        <v>0</v>
      </c>
      <c r="U112" s="371">
        <f t="shared" si="84"/>
        <v>0</v>
      </c>
      <c r="V112" s="371">
        <f t="shared" si="84"/>
        <v>-23800</v>
      </c>
      <c r="W112" s="371">
        <f t="shared" si="84"/>
        <v>23800</v>
      </c>
      <c r="X112" s="371">
        <f t="shared" si="84"/>
        <v>0</v>
      </c>
      <c r="Y112" s="371">
        <f t="shared" si="84"/>
        <v>0</v>
      </c>
      <c r="Z112" s="371">
        <f t="shared" si="84"/>
        <v>23800</v>
      </c>
      <c r="AA112" s="371">
        <f t="shared" si="84"/>
        <v>0</v>
      </c>
      <c r="AB112" s="371">
        <f t="shared" si="84"/>
        <v>0</v>
      </c>
      <c r="AC112" s="371">
        <f t="shared" si="84"/>
        <v>-238</v>
      </c>
      <c r="AD112" s="371">
        <f t="shared" si="84"/>
        <v>0</v>
      </c>
      <c r="AE112" s="625">
        <f t="shared" si="84"/>
        <v>-238</v>
      </c>
      <c r="AF112" s="630">
        <f t="shared" si="84"/>
        <v>-0.04</v>
      </c>
      <c r="AG112" s="373">
        <f t="shared" si="84"/>
        <v>0</v>
      </c>
      <c r="AH112" s="373">
        <f t="shared" si="84"/>
        <v>0</v>
      </c>
      <c r="AI112" s="373">
        <f t="shared" si="84"/>
        <v>0</v>
      </c>
      <c r="AJ112" s="373">
        <f t="shared" si="84"/>
        <v>0</v>
      </c>
      <c r="AK112" s="373">
        <f t="shared" si="84"/>
        <v>0</v>
      </c>
      <c r="AL112" s="631">
        <f t="shared" si="84"/>
        <v>-0.04</v>
      </c>
      <c r="AM112" s="370">
        <f t="shared" si="84"/>
        <v>61228942</v>
      </c>
      <c r="AN112" s="371">
        <f t="shared" si="84"/>
        <v>45363006</v>
      </c>
      <c r="AO112" s="371">
        <f t="shared" si="84"/>
        <v>59500</v>
      </c>
      <c r="AP112" s="371">
        <f t="shared" si="84"/>
        <v>15352808</v>
      </c>
      <c r="AQ112" s="371">
        <f t="shared" si="84"/>
        <v>453628</v>
      </c>
      <c r="AR112" s="371">
        <f t="shared" si="84"/>
        <v>0</v>
      </c>
      <c r="AS112" s="631">
        <f t="shared" si="84"/>
        <v>77.972800000000007</v>
      </c>
    </row>
    <row r="113" spans="4:45" s="60" customFormat="1" ht="12.95" customHeight="1" x14ac:dyDescent="0.25">
      <c r="D113" s="236"/>
      <c r="E113" s="237"/>
      <c r="F113" s="236"/>
      <c r="G113" s="238"/>
      <c r="H113" s="2">
        <v>3113</v>
      </c>
      <c r="I113" s="119">
        <f t="shared" ref="I113:AS113" si="85">SUMIF($F$12:$F$403,"=3113",I$12:I$403)</f>
        <v>151580642</v>
      </c>
      <c r="J113" s="14">
        <f t="shared" si="85"/>
        <v>112207945</v>
      </c>
      <c r="K113" s="14">
        <f t="shared" si="85"/>
        <v>242400</v>
      </c>
      <c r="L113" s="14">
        <f t="shared" si="85"/>
        <v>38008215</v>
      </c>
      <c r="M113" s="14">
        <f t="shared" si="85"/>
        <v>1122082</v>
      </c>
      <c r="N113" s="14">
        <f t="shared" si="85"/>
        <v>0</v>
      </c>
      <c r="O113" s="711">
        <f t="shared" si="85"/>
        <v>172.12729999999996</v>
      </c>
      <c r="P113" s="120">
        <f t="shared" si="85"/>
        <v>-161600</v>
      </c>
      <c r="Q113" s="14">
        <f t="shared" si="85"/>
        <v>-100483</v>
      </c>
      <c r="R113" s="14">
        <f t="shared" si="85"/>
        <v>0</v>
      </c>
      <c r="S113" s="14">
        <f t="shared" si="85"/>
        <v>0</v>
      </c>
      <c r="T113" s="14">
        <f t="shared" si="85"/>
        <v>0</v>
      </c>
      <c r="U113" s="14">
        <f t="shared" si="85"/>
        <v>0</v>
      </c>
      <c r="V113" s="14">
        <f t="shared" si="85"/>
        <v>-262083</v>
      </c>
      <c r="W113" s="14">
        <f t="shared" si="85"/>
        <v>161600</v>
      </c>
      <c r="X113" s="14">
        <f t="shared" si="85"/>
        <v>0</v>
      </c>
      <c r="Y113" s="14">
        <f t="shared" si="85"/>
        <v>0</v>
      </c>
      <c r="Z113" s="14">
        <f t="shared" si="85"/>
        <v>161600</v>
      </c>
      <c r="AA113" s="14">
        <f t="shared" si="85"/>
        <v>-100483</v>
      </c>
      <c r="AB113" s="14">
        <f t="shared" si="85"/>
        <v>-33963</v>
      </c>
      <c r="AC113" s="14">
        <f t="shared" si="85"/>
        <v>-2621</v>
      </c>
      <c r="AD113" s="14">
        <f t="shared" si="85"/>
        <v>0</v>
      </c>
      <c r="AE113" s="626">
        <f t="shared" si="85"/>
        <v>-137067</v>
      </c>
      <c r="AF113" s="632">
        <f t="shared" si="85"/>
        <v>-0.11999999999999998</v>
      </c>
      <c r="AG113" s="11">
        <f t="shared" si="85"/>
        <v>-0.25</v>
      </c>
      <c r="AH113" s="11">
        <f t="shared" si="85"/>
        <v>0</v>
      </c>
      <c r="AI113" s="11">
        <f t="shared" si="85"/>
        <v>0</v>
      </c>
      <c r="AJ113" s="11">
        <f t="shared" si="85"/>
        <v>0</v>
      </c>
      <c r="AK113" s="11">
        <f t="shared" si="85"/>
        <v>0</v>
      </c>
      <c r="AL113" s="633">
        <f t="shared" si="85"/>
        <v>-0.37</v>
      </c>
      <c r="AM113" s="119">
        <f t="shared" si="85"/>
        <v>151443575</v>
      </c>
      <c r="AN113" s="14">
        <f t="shared" si="85"/>
        <v>111945862</v>
      </c>
      <c r="AO113" s="14">
        <f t="shared" si="85"/>
        <v>404000</v>
      </c>
      <c r="AP113" s="14">
        <f t="shared" si="85"/>
        <v>37974252</v>
      </c>
      <c r="AQ113" s="14">
        <f t="shared" si="85"/>
        <v>1119461</v>
      </c>
      <c r="AR113" s="14">
        <f t="shared" si="85"/>
        <v>0</v>
      </c>
      <c r="AS113" s="633">
        <f t="shared" si="85"/>
        <v>171.75729999999996</v>
      </c>
    </row>
    <row r="114" spans="4:45" s="60" customFormat="1" ht="12.95" customHeight="1" x14ac:dyDescent="0.25">
      <c r="D114" s="236"/>
      <c r="E114" s="237"/>
      <c r="F114" s="236"/>
      <c r="G114" s="238"/>
      <c r="H114" s="2">
        <v>3114</v>
      </c>
      <c r="I114" s="119">
        <f t="shared" ref="I114:AS114" si="86">SUMIF($F$12:$F$403,"=3114",I$12:I$403)</f>
        <v>0</v>
      </c>
      <c r="J114" s="14">
        <f t="shared" si="86"/>
        <v>0</v>
      </c>
      <c r="K114" s="14">
        <f t="shared" si="86"/>
        <v>0</v>
      </c>
      <c r="L114" s="14">
        <f t="shared" si="86"/>
        <v>0</v>
      </c>
      <c r="M114" s="14">
        <f t="shared" si="86"/>
        <v>0</v>
      </c>
      <c r="N114" s="14">
        <f t="shared" si="86"/>
        <v>0</v>
      </c>
      <c r="O114" s="711">
        <f t="shared" si="86"/>
        <v>0</v>
      </c>
      <c r="P114" s="120">
        <f t="shared" si="86"/>
        <v>0</v>
      </c>
      <c r="Q114" s="14">
        <f t="shared" si="86"/>
        <v>0</v>
      </c>
      <c r="R114" s="14">
        <f t="shared" si="86"/>
        <v>0</v>
      </c>
      <c r="S114" s="14">
        <f t="shared" si="86"/>
        <v>0</v>
      </c>
      <c r="T114" s="14">
        <f t="shared" si="86"/>
        <v>0</v>
      </c>
      <c r="U114" s="14">
        <f t="shared" si="86"/>
        <v>0</v>
      </c>
      <c r="V114" s="14">
        <f t="shared" si="86"/>
        <v>0</v>
      </c>
      <c r="W114" s="14">
        <f t="shared" si="86"/>
        <v>0</v>
      </c>
      <c r="X114" s="14">
        <f t="shared" si="86"/>
        <v>0</v>
      </c>
      <c r="Y114" s="14">
        <f t="shared" si="86"/>
        <v>0</v>
      </c>
      <c r="Z114" s="14">
        <f t="shared" si="86"/>
        <v>0</v>
      </c>
      <c r="AA114" s="14">
        <f t="shared" si="86"/>
        <v>0</v>
      </c>
      <c r="AB114" s="14">
        <f t="shared" si="86"/>
        <v>0</v>
      </c>
      <c r="AC114" s="14">
        <f t="shared" si="86"/>
        <v>0</v>
      </c>
      <c r="AD114" s="14">
        <f t="shared" si="86"/>
        <v>0</v>
      </c>
      <c r="AE114" s="626">
        <f t="shared" si="86"/>
        <v>0</v>
      </c>
      <c r="AF114" s="632">
        <f t="shared" si="86"/>
        <v>0</v>
      </c>
      <c r="AG114" s="11">
        <f t="shared" si="86"/>
        <v>0</v>
      </c>
      <c r="AH114" s="11">
        <f t="shared" si="86"/>
        <v>0</v>
      </c>
      <c r="AI114" s="11">
        <f t="shared" si="86"/>
        <v>0</v>
      </c>
      <c r="AJ114" s="11">
        <f t="shared" si="86"/>
        <v>0</v>
      </c>
      <c r="AK114" s="11">
        <f t="shared" si="86"/>
        <v>0</v>
      </c>
      <c r="AL114" s="633">
        <f t="shared" si="86"/>
        <v>0</v>
      </c>
      <c r="AM114" s="119">
        <f t="shared" si="86"/>
        <v>0</v>
      </c>
      <c r="AN114" s="14">
        <f t="shared" si="86"/>
        <v>0</v>
      </c>
      <c r="AO114" s="14">
        <f t="shared" si="86"/>
        <v>0</v>
      </c>
      <c r="AP114" s="14">
        <f t="shared" si="86"/>
        <v>0</v>
      </c>
      <c r="AQ114" s="14">
        <f t="shared" si="86"/>
        <v>0</v>
      </c>
      <c r="AR114" s="14">
        <f t="shared" si="86"/>
        <v>0</v>
      </c>
      <c r="AS114" s="633">
        <f t="shared" si="86"/>
        <v>0</v>
      </c>
    </row>
    <row r="115" spans="4:45" s="60" customFormat="1" ht="12.95" customHeight="1" x14ac:dyDescent="0.25">
      <c r="D115" s="236"/>
      <c r="E115" s="237"/>
      <c r="F115" s="236"/>
      <c r="G115" s="238"/>
      <c r="H115" s="2">
        <v>3117</v>
      </c>
      <c r="I115" s="119">
        <f t="shared" ref="I115:AS115" si="87">SUMIF($F$12:$F$403,"=3117",I$12:I$403)</f>
        <v>16882502</v>
      </c>
      <c r="J115" s="14">
        <f t="shared" si="87"/>
        <v>12503268</v>
      </c>
      <c r="K115" s="14">
        <f t="shared" si="87"/>
        <v>21000</v>
      </c>
      <c r="L115" s="14">
        <f t="shared" si="87"/>
        <v>4233203</v>
      </c>
      <c r="M115" s="14">
        <f t="shared" si="87"/>
        <v>125031</v>
      </c>
      <c r="N115" s="14">
        <f t="shared" si="87"/>
        <v>0</v>
      </c>
      <c r="O115" s="711">
        <f t="shared" si="87"/>
        <v>21.097300000000001</v>
      </c>
      <c r="P115" s="120">
        <f t="shared" si="87"/>
        <v>-14000</v>
      </c>
      <c r="Q115" s="14">
        <f t="shared" si="87"/>
        <v>148817</v>
      </c>
      <c r="R115" s="14">
        <f t="shared" si="87"/>
        <v>0</v>
      </c>
      <c r="S115" s="14">
        <f t="shared" si="87"/>
        <v>0</v>
      </c>
      <c r="T115" s="14">
        <f t="shared" si="87"/>
        <v>0</v>
      </c>
      <c r="U115" s="14">
        <f t="shared" si="87"/>
        <v>0</v>
      </c>
      <c r="V115" s="14">
        <f t="shared" si="87"/>
        <v>134817</v>
      </c>
      <c r="W115" s="14">
        <f t="shared" si="87"/>
        <v>14000</v>
      </c>
      <c r="X115" s="14">
        <f t="shared" si="87"/>
        <v>0</v>
      </c>
      <c r="Y115" s="14">
        <f t="shared" si="87"/>
        <v>0</v>
      </c>
      <c r="Z115" s="14">
        <f t="shared" si="87"/>
        <v>14000</v>
      </c>
      <c r="AA115" s="14">
        <f t="shared" si="87"/>
        <v>148817</v>
      </c>
      <c r="AB115" s="14">
        <f t="shared" si="87"/>
        <v>50300</v>
      </c>
      <c r="AC115" s="14">
        <f t="shared" si="87"/>
        <v>1348</v>
      </c>
      <c r="AD115" s="14">
        <f t="shared" si="87"/>
        <v>0</v>
      </c>
      <c r="AE115" s="626">
        <f t="shared" si="87"/>
        <v>200465</v>
      </c>
      <c r="AF115" s="632">
        <f t="shared" si="87"/>
        <v>0</v>
      </c>
      <c r="AG115" s="11">
        <f t="shared" si="87"/>
        <v>0.37</v>
      </c>
      <c r="AH115" s="11">
        <f t="shared" si="87"/>
        <v>0</v>
      </c>
      <c r="AI115" s="11">
        <f t="shared" si="87"/>
        <v>0</v>
      </c>
      <c r="AJ115" s="11">
        <f t="shared" si="87"/>
        <v>0</v>
      </c>
      <c r="AK115" s="11">
        <f t="shared" si="87"/>
        <v>0</v>
      </c>
      <c r="AL115" s="633">
        <f t="shared" si="87"/>
        <v>0.37</v>
      </c>
      <c r="AM115" s="119">
        <f t="shared" si="87"/>
        <v>17082967</v>
      </c>
      <c r="AN115" s="14">
        <f t="shared" si="87"/>
        <v>12638085</v>
      </c>
      <c r="AO115" s="14">
        <f t="shared" si="87"/>
        <v>35000</v>
      </c>
      <c r="AP115" s="14">
        <f t="shared" si="87"/>
        <v>4283503</v>
      </c>
      <c r="AQ115" s="14">
        <f t="shared" si="87"/>
        <v>126379</v>
      </c>
      <c r="AR115" s="14">
        <f t="shared" si="87"/>
        <v>0</v>
      </c>
      <c r="AS115" s="633">
        <f t="shared" si="87"/>
        <v>21.467300000000002</v>
      </c>
    </row>
    <row r="116" spans="4:45" s="60" customFormat="1" ht="12.95" customHeight="1" x14ac:dyDescent="0.25">
      <c r="D116" s="236"/>
      <c r="E116" s="237"/>
      <c r="F116" s="236"/>
      <c r="G116" s="238"/>
      <c r="H116" s="2">
        <v>3122</v>
      </c>
      <c r="I116" s="119">
        <f t="shared" ref="I116:AS116" si="88">SUMIF($F$12:$F$403,"=3122",I$12:I$403)</f>
        <v>0</v>
      </c>
      <c r="J116" s="14">
        <f t="shared" si="88"/>
        <v>0</v>
      </c>
      <c r="K116" s="14">
        <f t="shared" si="88"/>
        <v>0</v>
      </c>
      <c r="L116" s="14">
        <f t="shared" si="88"/>
        <v>0</v>
      </c>
      <c r="M116" s="14">
        <f t="shared" si="88"/>
        <v>0</v>
      </c>
      <c r="N116" s="14">
        <f t="shared" si="88"/>
        <v>0</v>
      </c>
      <c r="O116" s="711">
        <f t="shared" si="88"/>
        <v>0</v>
      </c>
      <c r="P116" s="120">
        <f t="shared" si="88"/>
        <v>0</v>
      </c>
      <c r="Q116" s="14">
        <f t="shared" si="88"/>
        <v>0</v>
      </c>
      <c r="R116" s="14">
        <f t="shared" si="88"/>
        <v>0</v>
      </c>
      <c r="S116" s="14">
        <f t="shared" si="88"/>
        <v>0</v>
      </c>
      <c r="T116" s="14">
        <f t="shared" si="88"/>
        <v>0</v>
      </c>
      <c r="U116" s="14">
        <f t="shared" si="88"/>
        <v>0</v>
      </c>
      <c r="V116" s="14">
        <f t="shared" si="88"/>
        <v>0</v>
      </c>
      <c r="W116" s="14">
        <f t="shared" si="88"/>
        <v>0</v>
      </c>
      <c r="X116" s="14">
        <f t="shared" si="88"/>
        <v>0</v>
      </c>
      <c r="Y116" s="14">
        <f t="shared" si="88"/>
        <v>0</v>
      </c>
      <c r="Z116" s="14">
        <f t="shared" si="88"/>
        <v>0</v>
      </c>
      <c r="AA116" s="14">
        <f t="shared" si="88"/>
        <v>0</v>
      </c>
      <c r="AB116" s="14">
        <f t="shared" si="88"/>
        <v>0</v>
      </c>
      <c r="AC116" s="14">
        <f t="shared" si="88"/>
        <v>0</v>
      </c>
      <c r="AD116" s="14">
        <f t="shared" si="88"/>
        <v>0</v>
      </c>
      <c r="AE116" s="626">
        <f t="shared" si="88"/>
        <v>0</v>
      </c>
      <c r="AF116" s="632">
        <f t="shared" si="88"/>
        <v>0</v>
      </c>
      <c r="AG116" s="11">
        <f t="shared" si="88"/>
        <v>0</v>
      </c>
      <c r="AH116" s="11">
        <f t="shared" si="88"/>
        <v>0</v>
      </c>
      <c r="AI116" s="11">
        <f t="shared" si="88"/>
        <v>0</v>
      </c>
      <c r="AJ116" s="11">
        <f t="shared" si="88"/>
        <v>0</v>
      </c>
      <c r="AK116" s="11">
        <f t="shared" si="88"/>
        <v>0</v>
      </c>
      <c r="AL116" s="633">
        <f t="shared" si="88"/>
        <v>0</v>
      </c>
      <c r="AM116" s="119">
        <f t="shared" si="88"/>
        <v>0</v>
      </c>
      <c r="AN116" s="14">
        <f t="shared" si="88"/>
        <v>0</v>
      </c>
      <c r="AO116" s="14">
        <f t="shared" si="88"/>
        <v>0</v>
      </c>
      <c r="AP116" s="14">
        <f t="shared" si="88"/>
        <v>0</v>
      </c>
      <c r="AQ116" s="14">
        <f t="shared" si="88"/>
        <v>0</v>
      </c>
      <c r="AR116" s="14">
        <f t="shared" si="88"/>
        <v>0</v>
      </c>
      <c r="AS116" s="633">
        <f t="shared" si="88"/>
        <v>0</v>
      </c>
    </row>
    <row r="117" spans="4:45" s="60" customFormat="1" ht="12.95" customHeight="1" x14ac:dyDescent="0.25">
      <c r="D117" s="236"/>
      <c r="E117" s="237"/>
      <c r="F117" s="236"/>
      <c r="G117" s="238"/>
      <c r="H117" s="2">
        <v>3124</v>
      </c>
      <c r="I117" s="119">
        <f t="shared" ref="I117:AS117" si="89">SUMIF($F$12:$F$403,"=3124",I$12:I$403)</f>
        <v>0</v>
      </c>
      <c r="J117" s="14">
        <f t="shared" si="89"/>
        <v>0</v>
      </c>
      <c r="K117" s="14">
        <f t="shared" si="89"/>
        <v>0</v>
      </c>
      <c r="L117" s="14">
        <f t="shared" si="89"/>
        <v>0</v>
      </c>
      <c r="M117" s="14">
        <f t="shared" si="89"/>
        <v>0</v>
      </c>
      <c r="N117" s="14">
        <f t="shared" si="89"/>
        <v>0</v>
      </c>
      <c r="O117" s="711">
        <f t="shared" si="89"/>
        <v>0</v>
      </c>
      <c r="P117" s="120">
        <f t="shared" si="89"/>
        <v>0</v>
      </c>
      <c r="Q117" s="14">
        <f t="shared" si="89"/>
        <v>0</v>
      </c>
      <c r="R117" s="14">
        <f t="shared" si="89"/>
        <v>0</v>
      </c>
      <c r="S117" s="14">
        <f t="shared" si="89"/>
        <v>0</v>
      </c>
      <c r="T117" s="14">
        <f t="shared" si="89"/>
        <v>0</v>
      </c>
      <c r="U117" s="14">
        <f t="shared" si="89"/>
        <v>0</v>
      </c>
      <c r="V117" s="14">
        <f t="shared" si="89"/>
        <v>0</v>
      </c>
      <c r="W117" s="14">
        <f t="shared" si="89"/>
        <v>0</v>
      </c>
      <c r="X117" s="14">
        <f t="shared" si="89"/>
        <v>0</v>
      </c>
      <c r="Y117" s="14">
        <f t="shared" si="89"/>
        <v>0</v>
      </c>
      <c r="Z117" s="14">
        <f t="shared" si="89"/>
        <v>0</v>
      </c>
      <c r="AA117" s="14">
        <f t="shared" si="89"/>
        <v>0</v>
      </c>
      <c r="AB117" s="14">
        <f t="shared" si="89"/>
        <v>0</v>
      </c>
      <c r="AC117" s="14">
        <f t="shared" si="89"/>
        <v>0</v>
      </c>
      <c r="AD117" s="14">
        <f t="shared" si="89"/>
        <v>0</v>
      </c>
      <c r="AE117" s="626">
        <f t="shared" si="89"/>
        <v>0</v>
      </c>
      <c r="AF117" s="632">
        <f t="shared" si="89"/>
        <v>0</v>
      </c>
      <c r="AG117" s="11">
        <f t="shared" si="89"/>
        <v>0</v>
      </c>
      <c r="AH117" s="11">
        <f t="shared" si="89"/>
        <v>0</v>
      </c>
      <c r="AI117" s="11">
        <f t="shared" si="89"/>
        <v>0</v>
      </c>
      <c r="AJ117" s="11">
        <f t="shared" si="89"/>
        <v>0</v>
      </c>
      <c r="AK117" s="11">
        <f t="shared" si="89"/>
        <v>0</v>
      </c>
      <c r="AL117" s="633">
        <f t="shared" si="89"/>
        <v>0</v>
      </c>
      <c r="AM117" s="119">
        <f t="shared" si="89"/>
        <v>0</v>
      </c>
      <c r="AN117" s="14">
        <f t="shared" si="89"/>
        <v>0</v>
      </c>
      <c r="AO117" s="14">
        <f t="shared" si="89"/>
        <v>0</v>
      </c>
      <c r="AP117" s="14">
        <f t="shared" si="89"/>
        <v>0</v>
      </c>
      <c r="AQ117" s="14">
        <f t="shared" si="89"/>
        <v>0</v>
      </c>
      <c r="AR117" s="14">
        <f t="shared" si="89"/>
        <v>0</v>
      </c>
      <c r="AS117" s="633">
        <f t="shared" si="89"/>
        <v>0</v>
      </c>
    </row>
    <row r="118" spans="4:45" s="60" customFormat="1" ht="12.95" customHeight="1" x14ac:dyDescent="0.25">
      <c r="D118" s="236"/>
      <c r="E118" s="237"/>
      <c r="F118" s="236"/>
      <c r="G118" s="238"/>
      <c r="H118" s="2">
        <v>3141</v>
      </c>
      <c r="I118" s="119">
        <f t="shared" ref="I118:AS118" si="90">SUMIF($F$12:$F$403,"=3141",I$12:I$403)</f>
        <v>0</v>
      </c>
      <c r="J118" s="14">
        <f t="shared" si="90"/>
        <v>0</v>
      </c>
      <c r="K118" s="14">
        <f t="shared" si="90"/>
        <v>0</v>
      </c>
      <c r="L118" s="14">
        <f t="shared" si="90"/>
        <v>0</v>
      </c>
      <c r="M118" s="14">
        <f t="shared" si="90"/>
        <v>0</v>
      </c>
      <c r="N118" s="14">
        <f t="shared" si="90"/>
        <v>0</v>
      </c>
      <c r="O118" s="711">
        <f t="shared" si="90"/>
        <v>0</v>
      </c>
      <c r="P118" s="120">
        <f t="shared" si="90"/>
        <v>0</v>
      </c>
      <c r="Q118" s="14">
        <f t="shared" si="90"/>
        <v>0</v>
      </c>
      <c r="R118" s="14">
        <f t="shared" si="90"/>
        <v>0</v>
      </c>
      <c r="S118" s="14">
        <f t="shared" si="90"/>
        <v>0</v>
      </c>
      <c r="T118" s="14">
        <f t="shared" si="90"/>
        <v>0</v>
      </c>
      <c r="U118" s="14">
        <f t="shared" si="90"/>
        <v>0</v>
      </c>
      <c r="V118" s="14">
        <f t="shared" si="90"/>
        <v>0</v>
      </c>
      <c r="W118" s="14">
        <f t="shared" si="90"/>
        <v>0</v>
      </c>
      <c r="X118" s="14">
        <f t="shared" si="90"/>
        <v>0</v>
      </c>
      <c r="Y118" s="14">
        <f t="shared" si="90"/>
        <v>0</v>
      </c>
      <c r="Z118" s="14">
        <f t="shared" si="90"/>
        <v>0</v>
      </c>
      <c r="AA118" s="14">
        <f t="shared" si="90"/>
        <v>0</v>
      </c>
      <c r="AB118" s="14">
        <f t="shared" si="90"/>
        <v>0</v>
      </c>
      <c r="AC118" s="14">
        <f t="shared" si="90"/>
        <v>0</v>
      </c>
      <c r="AD118" s="14">
        <f t="shared" si="90"/>
        <v>0</v>
      </c>
      <c r="AE118" s="626">
        <f t="shared" si="90"/>
        <v>0</v>
      </c>
      <c r="AF118" s="632">
        <f t="shared" si="90"/>
        <v>0</v>
      </c>
      <c r="AG118" s="11">
        <f t="shared" si="90"/>
        <v>0</v>
      </c>
      <c r="AH118" s="11">
        <f t="shared" si="90"/>
        <v>0</v>
      </c>
      <c r="AI118" s="11">
        <f t="shared" si="90"/>
        <v>0</v>
      </c>
      <c r="AJ118" s="11">
        <f t="shared" si="90"/>
        <v>0</v>
      </c>
      <c r="AK118" s="11">
        <f t="shared" si="90"/>
        <v>0</v>
      </c>
      <c r="AL118" s="633">
        <f t="shared" si="90"/>
        <v>0</v>
      </c>
      <c r="AM118" s="119">
        <f t="shared" si="90"/>
        <v>0</v>
      </c>
      <c r="AN118" s="14">
        <f t="shared" si="90"/>
        <v>0</v>
      </c>
      <c r="AO118" s="14">
        <f t="shared" si="90"/>
        <v>0</v>
      </c>
      <c r="AP118" s="14">
        <f t="shared" si="90"/>
        <v>0</v>
      </c>
      <c r="AQ118" s="14">
        <f t="shared" si="90"/>
        <v>0</v>
      </c>
      <c r="AR118" s="14">
        <f t="shared" si="90"/>
        <v>0</v>
      </c>
      <c r="AS118" s="633">
        <f t="shared" si="90"/>
        <v>0</v>
      </c>
    </row>
    <row r="119" spans="4:45" s="60" customFormat="1" ht="12.95" customHeight="1" x14ac:dyDescent="0.25">
      <c r="D119" s="236"/>
      <c r="E119" s="237"/>
      <c r="F119" s="236"/>
      <c r="G119" s="238"/>
      <c r="H119" s="2">
        <v>3143</v>
      </c>
      <c r="I119" s="119">
        <f t="shared" ref="I119:AS119" si="91">SUMIF($F$12:$F$403,"=3143",I$12:I$403)</f>
        <v>16809549</v>
      </c>
      <c r="J119" s="14">
        <f t="shared" si="91"/>
        <v>12458080</v>
      </c>
      <c r="K119" s="14">
        <f t="shared" si="91"/>
        <v>12000</v>
      </c>
      <c r="L119" s="14">
        <f t="shared" si="91"/>
        <v>4214888</v>
      </c>
      <c r="M119" s="14">
        <f t="shared" si="91"/>
        <v>124581</v>
      </c>
      <c r="N119" s="14">
        <f t="shared" si="91"/>
        <v>0</v>
      </c>
      <c r="O119" s="711">
        <f t="shared" si="91"/>
        <v>23.458100000000002</v>
      </c>
      <c r="P119" s="120">
        <f t="shared" si="91"/>
        <v>-8000</v>
      </c>
      <c r="Q119" s="14">
        <f t="shared" si="91"/>
        <v>0</v>
      </c>
      <c r="R119" s="14">
        <f t="shared" si="91"/>
        <v>0</v>
      </c>
      <c r="S119" s="14">
        <f t="shared" si="91"/>
        <v>0</v>
      </c>
      <c r="T119" s="14">
        <f t="shared" si="91"/>
        <v>0</v>
      </c>
      <c r="U119" s="14">
        <f t="shared" si="91"/>
        <v>0</v>
      </c>
      <c r="V119" s="14">
        <f t="shared" si="91"/>
        <v>-8000</v>
      </c>
      <c r="W119" s="14">
        <f t="shared" si="91"/>
        <v>8000</v>
      </c>
      <c r="X119" s="14">
        <f t="shared" si="91"/>
        <v>0</v>
      </c>
      <c r="Y119" s="14">
        <f t="shared" si="91"/>
        <v>0</v>
      </c>
      <c r="Z119" s="14">
        <f t="shared" si="91"/>
        <v>8000</v>
      </c>
      <c r="AA119" s="14">
        <f t="shared" si="91"/>
        <v>0</v>
      </c>
      <c r="AB119" s="14">
        <f t="shared" si="91"/>
        <v>0</v>
      </c>
      <c r="AC119" s="14">
        <f t="shared" si="91"/>
        <v>-80</v>
      </c>
      <c r="AD119" s="14">
        <f t="shared" si="91"/>
        <v>0</v>
      </c>
      <c r="AE119" s="626">
        <f t="shared" si="91"/>
        <v>-80</v>
      </c>
      <c r="AF119" s="632">
        <f t="shared" si="91"/>
        <v>0</v>
      </c>
      <c r="AG119" s="11">
        <f t="shared" si="91"/>
        <v>0</v>
      </c>
      <c r="AH119" s="11">
        <f t="shared" si="91"/>
        <v>0</v>
      </c>
      <c r="AI119" s="11">
        <f t="shared" si="91"/>
        <v>0</v>
      </c>
      <c r="AJ119" s="11">
        <f t="shared" si="91"/>
        <v>0</v>
      </c>
      <c r="AK119" s="11">
        <f t="shared" si="91"/>
        <v>0</v>
      </c>
      <c r="AL119" s="633">
        <f t="shared" si="91"/>
        <v>0</v>
      </c>
      <c r="AM119" s="119">
        <f t="shared" si="91"/>
        <v>16809469</v>
      </c>
      <c r="AN119" s="14">
        <f t="shared" si="91"/>
        <v>12450080</v>
      </c>
      <c r="AO119" s="14">
        <f t="shared" si="91"/>
        <v>20000</v>
      </c>
      <c r="AP119" s="14">
        <f t="shared" si="91"/>
        <v>4214888</v>
      </c>
      <c r="AQ119" s="14">
        <f t="shared" si="91"/>
        <v>124501</v>
      </c>
      <c r="AR119" s="14">
        <f t="shared" si="91"/>
        <v>0</v>
      </c>
      <c r="AS119" s="633">
        <f t="shared" si="91"/>
        <v>23.458100000000002</v>
      </c>
    </row>
    <row r="120" spans="4:45" s="60" customFormat="1" x14ac:dyDescent="0.25">
      <c r="D120" s="236"/>
      <c r="E120" s="237"/>
      <c r="F120" s="236"/>
      <c r="G120" s="238"/>
      <c r="H120" s="2">
        <v>3231</v>
      </c>
      <c r="I120" s="119">
        <f t="shared" ref="I120:AS120" si="92">SUMIF($F$12:$F$403,"=3231",I$12:I$403)</f>
        <v>22674528</v>
      </c>
      <c r="J120" s="14">
        <f t="shared" si="92"/>
        <v>16817888</v>
      </c>
      <c r="K120" s="14">
        <f t="shared" si="92"/>
        <v>3000</v>
      </c>
      <c r="L120" s="14">
        <f t="shared" si="92"/>
        <v>5685461</v>
      </c>
      <c r="M120" s="14">
        <f t="shared" si="92"/>
        <v>168179</v>
      </c>
      <c r="N120" s="14">
        <f t="shared" si="92"/>
        <v>0</v>
      </c>
      <c r="O120" s="711">
        <f t="shared" si="92"/>
        <v>25.2486</v>
      </c>
      <c r="P120" s="120">
        <f t="shared" si="92"/>
        <v>-2000</v>
      </c>
      <c r="Q120" s="14">
        <f t="shared" si="92"/>
        <v>0</v>
      </c>
      <c r="R120" s="14">
        <f t="shared" si="92"/>
        <v>0</v>
      </c>
      <c r="S120" s="14">
        <f t="shared" si="92"/>
        <v>0</v>
      </c>
      <c r="T120" s="14">
        <f t="shared" si="92"/>
        <v>0</v>
      </c>
      <c r="U120" s="14">
        <f t="shared" si="92"/>
        <v>0</v>
      </c>
      <c r="V120" s="14">
        <f t="shared" si="92"/>
        <v>-2000</v>
      </c>
      <c r="W120" s="14">
        <f t="shared" si="92"/>
        <v>2000</v>
      </c>
      <c r="X120" s="14">
        <f t="shared" si="92"/>
        <v>0</v>
      </c>
      <c r="Y120" s="14">
        <f t="shared" si="92"/>
        <v>0</v>
      </c>
      <c r="Z120" s="14">
        <f t="shared" si="92"/>
        <v>2000</v>
      </c>
      <c r="AA120" s="14">
        <f t="shared" si="92"/>
        <v>0</v>
      </c>
      <c r="AB120" s="14">
        <f t="shared" si="92"/>
        <v>0</v>
      </c>
      <c r="AC120" s="14">
        <f t="shared" si="92"/>
        <v>-20</v>
      </c>
      <c r="AD120" s="14">
        <f t="shared" si="92"/>
        <v>0</v>
      </c>
      <c r="AE120" s="626">
        <f t="shared" si="92"/>
        <v>-20</v>
      </c>
      <c r="AF120" s="632">
        <f t="shared" si="92"/>
        <v>-0.01</v>
      </c>
      <c r="AG120" s="11">
        <f t="shared" si="92"/>
        <v>0</v>
      </c>
      <c r="AH120" s="11">
        <f t="shared" si="92"/>
        <v>0</v>
      </c>
      <c r="AI120" s="11">
        <f t="shared" si="92"/>
        <v>0</v>
      </c>
      <c r="AJ120" s="11">
        <f t="shared" si="92"/>
        <v>0</v>
      </c>
      <c r="AK120" s="11">
        <f t="shared" si="92"/>
        <v>0</v>
      </c>
      <c r="AL120" s="633">
        <f t="shared" si="92"/>
        <v>-0.01</v>
      </c>
      <c r="AM120" s="119">
        <f t="shared" si="92"/>
        <v>22674508</v>
      </c>
      <c r="AN120" s="14">
        <f t="shared" si="92"/>
        <v>16815888</v>
      </c>
      <c r="AO120" s="14">
        <f t="shared" si="92"/>
        <v>5000</v>
      </c>
      <c r="AP120" s="14">
        <f t="shared" si="92"/>
        <v>5685461</v>
      </c>
      <c r="AQ120" s="14">
        <f t="shared" si="92"/>
        <v>168159</v>
      </c>
      <c r="AR120" s="14">
        <f t="shared" si="92"/>
        <v>0</v>
      </c>
      <c r="AS120" s="633">
        <f t="shared" si="92"/>
        <v>25.238599999999998</v>
      </c>
    </row>
    <row r="121" spans="4:45" s="60" customFormat="1" ht="15.75" thickBot="1" x14ac:dyDescent="0.3">
      <c r="D121" s="236"/>
      <c r="E121" s="237"/>
      <c r="F121" s="236"/>
      <c r="G121" s="238"/>
      <c r="H121" s="103">
        <v>3233</v>
      </c>
      <c r="I121" s="122">
        <f t="shared" ref="I121:AS121" si="93">SUMIF($F$12:$F$403,"=3233",I$12:I$403)</f>
        <v>1828972</v>
      </c>
      <c r="J121" s="123">
        <f t="shared" si="93"/>
        <v>1356804</v>
      </c>
      <c r="K121" s="123">
        <f t="shared" si="93"/>
        <v>0</v>
      </c>
      <c r="L121" s="123">
        <f t="shared" si="93"/>
        <v>458600</v>
      </c>
      <c r="M121" s="123">
        <f t="shared" si="93"/>
        <v>13568</v>
      </c>
      <c r="N121" s="123">
        <f t="shared" si="93"/>
        <v>0</v>
      </c>
      <c r="O121" s="712">
        <f t="shared" si="93"/>
        <v>2.2999999999999998</v>
      </c>
      <c r="P121" s="125">
        <f t="shared" si="93"/>
        <v>0</v>
      </c>
      <c r="Q121" s="123">
        <f t="shared" si="93"/>
        <v>0</v>
      </c>
      <c r="R121" s="123">
        <f t="shared" si="93"/>
        <v>0</v>
      </c>
      <c r="S121" s="123">
        <f t="shared" si="93"/>
        <v>0</v>
      </c>
      <c r="T121" s="123">
        <f t="shared" si="93"/>
        <v>0</v>
      </c>
      <c r="U121" s="123">
        <f t="shared" si="93"/>
        <v>0</v>
      </c>
      <c r="V121" s="123">
        <f t="shared" si="93"/>
        <v>0</v>
      </c>
      <c r="W121" s="123">
        <f t="shared" si="93"/>
        <v>0</v>
      </c>
      <c r="X121" s="123">
        <f t="shared" si="93"/>
        <v>0</v>
      </c>
      <c r="Y121" s="123">
        <f t="shared" si="93"/>
        <v>0</v>
      </c>
      <c r="Z121" s="123">
        <f t="shared" si="93"/>
        <v>0</v>
      </c>
      <c r="AA121" s="123">
        <f t="shared" si="93"/>
        <v>0</v>
      </c>
      <c r="AB121" s="123">
        <f t="shared" si="93"/>
        <v>0</v>
      </c>
      <c r="AC121" s="123">
        <f t="shared" si="93"/>
        <v>0</v>
      </c>
      <c r="AD121" s="123">
        <f t="shared" si="93"/>
        <v>0</v>
      </c>
      <c r="AE121" s="627">
        <f t="shared" si="93"/>
        <v>0</v>
      </c>
      <c r="AF121" s="634">
        <f t="shared" si="93"/>
        <v>0</v>
      </c>
      <c r="AG121" s="124">
        <f t="shared" si="93"/>
        <v>0</v>
      </c>
      <c r="AH121" s="124">
        <f t="shared" si="93"/>
        <v>0</v>
      </c>
      <c r="AI121" s="124">
        <f t="shared" si="93"/>
        <v>0</v>
      </c>
      <c r="AJ121" s="124">
        <f t="shared" si="93"/>
        <v>0</v>
      </c>
      <c r="AK121" s="124">
        <f t="shared" si="93"/>
        <v>0</v>
      </c>
      <c r="AL121" s="635">
        <f t="shared" si="93"/>
        <v>0</v>
      </c>
      <c r="AM121" s="122">
        <f t="shared" si="93"/>
        <v>1828972</v>
      </c>
      <c r="AN121" s="123">
        <f t="shared" si="93"/>
        <v>1356804</v>
      </c>
      <c r="AO121" s="123">
        <f t="shared" si="93"/>
        <v>0</v>
      </c>
      <c r="AP121" s="123">
        <f t="shared" si="93"/>
        <v>458600</v>
      </c>
      <c r="AQ121" s="123">
        <f t="shared" si="93"/>
        <v>13568</v>
      </c>
      <c r="AR121" s="123">
        <f t="shared" si="93"/>
        <v>0</v>
      </c>
      <c r="AS121" s="635">
        <f t="shared" si="93"/>
        <v>2.2999999999999998</v>
      </c>
    </row>
    <row r="122" spans="4:45" x14ac:dyDescent="0.25">
      <c r="AF122" s="240"/>
    </row>
  </sheetData>
  <mergeCells count="46">
    <mergeCell ref="L9:L10"/>
    <mergeCell ref="AC7:AC10"/>
    <mergeCell ref="AE7:AE10"/>
    <mergeCell ref="R9:R10"/>
    <mergeCell ref="V9:V10"/>
    <mergeCell ref="P9:P10"/>
    <mergeCell ref="S9:S10"/>
    <mergeCell ref="U9:U10"/>
    <mergeCell ref="W9:W10"/>
    <mergeCell ref="X9:X10"/>
    <mergeCell ref="Z9:Z10"/>
    <mergeCell ref="AB7:AB10"/>
    <mergeCell ref="Y9:Y10"/>
    <mergeCell ref="AA7:AA10"/>
    <mergeCell ref="A3:E3"/>
    <mergeCell ref="I8:I10"/>
    <mergeCell ref="I6:O7"/>
    <mergeCell ref="P6:AL6"/>
    <mergeCell ref="P7:V8"/>
    <mergeCell ref="W7:Z8"/>
    <mergeCell ref="M9:M10"/>
    <mergeCell ref="O8:O10"/>
    <mergeCell ref="AJ8:AJ10"/>
    <mergeCell ref="AK8:AK10"/>
    <mergeCell ref="AL8:AL10"/>
    <mergeCell ref="Q9:Q10"/>
    <mergeCell ref="J9:J10"/>
    <mergeCell ref="N9:N10"/>
    <mergeCell ref="J8:M8"/>
    <mergeCell ref="T9:T10"/>
    <mergeCell ref="K9:K10"/>
    <mergeCell ref="AM6:AS7"/>
    <mergeCell ref="AS8:AS10"/>
    <mergeCell ref="AN9:AN10"/>
    <mergeCell ref="AD7:AD10"/>
    <mergeCell ref="AF8:AF10"/>
    <mergeCell ref="AG8:AG10"/>
    <mergeCell ref="AH8:AH10"/>
    <mergeCell ref="AI8:AI10"/>
    <mergeCell ref="AR9:AR10"/>
    <mergeCell ref="AM8:AM10"/>
    <mergeCell ref="AQ9:AQ10"/>
    <mergeCell ref="AO9:AO10"/>
    <mergeCell ref="AN8:AQ8"/>
    <mergeCell ref="AP9:AP10"/>
    <mergeCell ref="AF7:AL7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S172"/>
  <sheetViews>
    <sheetView zoomScaleNormal="100" workbookViewId="0">
      <pane xSplit="8" ySplit="11" topLeftCell="AB67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ColWidth="9.140625" defaultRowHeight="15" x14ac:dyDescent="0.25"/>
  <cols>
    <col min="1" max="1" width="5" style="318" customWidth="1"/>
    <col min="2" max="2" width="4.7109375" style="234" bestFit="1" customWidth="1"/>
    <col min="3" max="3" width="10.28515625" style="234" customWidth="1"/>
    <col min="4" max="4" width="9.42578125" style="234" customWidth="1"/>
    <col min="5" max="5" width="27.7109375" style="175" customWidth="1"/>
    <col min="6" max="6" width="4.42578125" style="175" bestFit="1" customWidth="1"/>
    <col min="7" max="7" width="10.28515625" style="175" customWidth="1"/>
    <col min="8" max="8" width="8" style="319" customWidth="1"/>
    <col min="9" max="9" width="13.140625" style="239" customWidth="1"/>
    <col min="10" max="11" width="12.85546875" style="239" customWidth="1"/>
    <col min="12" max="13" width="10.85546875" style="239" customWidth="1"/>
    <col min="14" max="14" width="11.85546875" style="239" customWidth="1"/>
    <col min="15" max="15" width="12.7109375" style="701" customWidth="1"/>
    <col min="16" max="18" width="10.28515625" style="239" customWidth="1"/>
    <col min="19" max="19" width="10.5703125" style="239" customWidth="1"/>
    <col min="20" max="20" width="12.140625" style="464" customWidth="1"/>
    <col min="21" max="24" width="10.28515625" style="239" customWidth="1"/>
    <col min="25" max="25" width="9.42578125" style="239" customWidth="1"/>
    <col min="26" max="26" width="10.28515625" style="239" customWidth="1"/>
    <col min="27" max="28" width="10.42578125" style="240" customWidth="1"/>
    <col min="29" max="29" width="11.140625" style="239" customWidth="1"/>
    <col min="30" max="30" width="9.140625" style="239" customWidth="1"/>
    <col min="31" max="31" width="9.7109375" style="239" customWidth="1"/>
    <col min="32" max="32" width="9.85546875" style="240" customWidth="1"/>
    <col min="33" max="33" width="9.140625" style="240" customWidth="1"/>
    <col min="34" max="34" width="10.28515625" style="240" customWidth="1"/>
    <col min="35" max="35" width="9.140625" style="240" customWidth="1"/>
    <col min="36" max="36" width="10.7109375" style="463" customWidth="1"/>
    <col min="37" max="37" width="9.7109375" style="240" customWidth="1"/>
    <col min="38" max="38" width="9.140625" style="240" customWidth="1"/>
    <col min="39" max="39" width="12" style="240" customWidth="1"/>
    <col min="40" max="40" width="12.140625" style="240" customWidth="1"/>
    <col min="41" max="41" width="10.85546875" style="240" customWidth="1"/>
    <col min="42" max="42" width="12.140625" style="240" customWidth="1"/>
    <col min="43" max="44" width="10.85546875" style="240" customWidth="1"/>
    <col min="45" max="45" width="10.5703125" style="240" customWidth="1"/>
    <col min="46" max="16384" width="9.140625" style="175"/>
  </cols>
  <sheetData>
    <row r="1" spans="1:45" ht="12" customHeight="1" x14ac:dyDescent="0.25">
      <c r="A1" s="46" t="s">
        <v>2</v>
      </c>
      <c r="B1" s="46"/>
      <c r="C1" s="38"/>
      <c r="D1" s="46"/>
      <c r="E1" s="46"/>
      <c r="F1" s="174"/>
      <c r="G1" s="174"/>
      <c r="H1" s="174"/>
      <c r="AC1" s="48"/>
      <c r="AD1" s="48"/>
      <c r="AE1" s="48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12" customHeight="1" x14ac:dyDescent="0.25">
      <c r="A2" s="46" t="s">
        <v>3</v>
      </c>
      <c r="B2" s="46"/>
      <c r="C2" s="38"/>
      <c r="D2" s="46"/>
      <c r="E2" s="46"/>
      <c r="F2" s="174"/>
      <c r="G2" s="174"/>
      <c r="H2" s="174"/>
    </row>
    <row r="3" spans="1:45" ht="12" customHeight="1" x14ac:dyDescent="0.25">
      <c r="A3" s="996" t="s">
        <v>4</v>
      </c>
      <c r="B3" s="996"/>
      <c r="C3" s="996"/>
      <c r="D3" s="996"/>
      <c r="E3" s="996"/>
      <c r="F3" s="174"/>
      <c r="G3" s="174"/>
      <c r="H3" s="174"/>
      <c r="AD3" s="380"/>
    </row>
    <row r="4" spans="1:45" ht="12" customHeight="1" x14ac:dyDescent="0.25">
      <c r="A4" s="286"/>
      <c r="B4" s="321"/>
      <c r="C4" s="321"/>
      <c r="D4" s="321"/>
      <c r="E4" s="321"/>
      <c r="F4" s="174"/>
      <c r="G4" s="174"/>
      <c r="H4" s="174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I5" s="875"/>
      <c r="J5" s="875"/>
      <c r="K5" s="875"/>
      <c r="L5" s="875"/>
      <c r="M5" s="875"/>
      <c r="N5" s="875"/>
      <c r="O5" s="876"/>
      <c r="P5" s="322"/>
      <c r="Q5" s="472"/>
      <c r="R5" s="851" t="s">
        <v>815</v>
      </c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50"/>
      <c r="AG5" s="472"/>
      <c r="AH5" s="851" t="s">
        <v>815</v>
      </c>
      <c r="AI5" s="50"/>
      <c r="AJ5" s="50"/>
      <c r="AK5" s="50"/>
      <c r="AL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A7" s="286"/>
      <c r="B7" s="178"/>
      <c r="C7" s="60"/>
      <c r="D7" s="179"/>
      <c r="E7" s="178"/>
      <c r="F7" s="174"/>
      <c r="G7" s="174"/>
      <c r="H7" s="174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1000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287"/>
      <c r="B8" s="181"/>
      <c r="C8" s="181"/>
      <c r="D8" s="181"/>
      <c r="E8" s="181"/>
      <c r="F8" s="181"/>
      <c r="G8" s="181"/>
      <c r="H8" s="181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33" customHeight="1" thickBot="1" x14ac:dyDescent="0.3">
      <c r="A9" s="285" t="s">
        <v>752</v>
      </c>
      <c r="B9" s="60"/>
      <c r="C9" s="60"/>
      <c r="D9" s="183"/>
      <c r="E9" s="60"/>
      <c r="F9" s="184"/>
      <c r="G9" s="185"/>
      <c r="H9" s="185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2.5" customHeight="1" thickBot="1" x14ac:dyDescent="0.3">
      <c r="A10" s="288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7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192" customFormat="1" ht="12" thickBot="1" x14ac:dyDescent="0.25">
      <c r="A11" s="2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86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ht="14.25" customHeight="1" x14ac:dyDescent="0.25">
      <c r="A12" s="193">
        <v>1</v>
      </c>
      <c r="B12" s="194">
        <v>5490</v>
      </c>
      <c r="C12" s="194">
        <v>600099474</v>
      </c>
      <c r="D12" s="194">
        <v>71173854</v>
      </c>
      <c r="E12" s="290" t="s">
        <v>437</v>
      </c>
      <c r="F12" s="194">
        <v>3111</v>
      </c>
      <c r="G12" s="291" t="s">
        <v>290</v>
      </c>
      <c r="H12" s="292" t="s">
        <v>262</v>
      </c>
      <c r="I12" s="579">
        <v>18762963</v>
      </c>
      <c r="J12" s="521">
        <v>13919112</v>
      </c>
      <c r="K12" s="521">
        <v>0</v>
      </c>
      <c r="L12" s="745">
        <v>4704660</v>
      </c>
      <c r="M12" s="745">
        <v>139191</v>
      </c>
      <c r="N12" s="521">
        <v>0</v>
      </c>
      <c r="O12" s="779">
        <v>24</v>
      </c>
      <c r="P12" s="620">
        <f t="shared" ref="P12:P18" si="0">W12*-1</f>
        <v>0</v>
      </c>
      <c r="Q12" s="523">
        <v>0</v>
      </c>
      <c r="R12" s="523">
        <v>0</v>
      </c>
      <c r="S12" s="523">
        <v>0</v>
      </c>
      <c r="T12" s="523">
        <v>0</v>
      </c>
      <c r="U12" s="523">
        <v>0</v>
      </c>
      <c r="V12" s="523">
        <f t="shared" ref="V12:V18" si="1">P12+Q12+R12+S12+T12+U12</f>
        <v>0</v>
      </c>
      <c r="W12" s="523">
        <v>0</v>
      </c>
      <c r="X12" s="523">
        <v>0</v>
      </c>
      <c r="Y12" s="523">
        <v>0</v>
      </c>
      <c r="Z12" s="523">
        <f t="shared" ref="Z12:Z18" si="2">W12+X12+Y12</f>
        <v>0</v>
      </c>
      <c r="AA12" s="523">
        <f t="shared" ref="AA12:AA18" si="3">V12+Z12</f>
        <v>0</v>
      </c>
      <c r="AB12" s="621">
        <f t="shared" ref="AB12:AB18" si="4">ROUND((V12+Z12)*33.8%,0)</f>
        <v>0</v>
      </c>
      <c r="AC12" s="621">
        <f t="shared" ref="AC12:AC18" si="5">ROUND(V12*1%,0)</f>
        <v>0</v>
      </c>
      <c r="AD12" s="523">
        <v>0</v>
      </c>
      <c r="AE12" s="789">
        <f t="shared" ref="AE12:AE18" si="6">AA12+AB12+AC12+AD12</f>
        <v>0</v>
      </c>
      <c r="AF12" s="877">
        <v>0</v>
      </c>
      <c r="AG12" s="727">
        <v>0</v>
      </c>
      <c r="AH12" s="727">
        <v>0</v>
      </c>
      <c r="AI12" s="727">
        <v>0</v>
      </c>
      <c r="AJ12" s="522">
        <v>0</v>
      </c>
      <c r="AK12" s="522">
        <v>0</v>
      </c>
      <c r="AL12" s="608">
        <f t="shared" ref="AL12:AL18" si="7">SUM(AF12:AK12)</f>
        <v>0</v>
      </c>
      <c r="AM12" s="620">
        <f t="shared" ref="AM12:AM18" si="8">I12+AE12</f>
        <v>18762963</v>
      </c>
      <c r="AN12" s="523">
        <f t="shared" ref="AN12:AN18" si="9">J12+V12</f>
        <v>13919112</v>
      </c>
      <c r="AO12" s="573">
        <f t="shared" ref="AO12:AO18" si="10">K12+Z12</f>
        <v>0</v>
      </c>
      <c r="AP12" s="523">
        <f t="shared" ref="AP12:AR18" si="11">L12+AB12</f>
        <v>4704660</v>
      </c>
      <c r="AQ12" s="523">
        <f t="shared" si="11"/>
        <v>139191</v>
      </c>
      <c r="AR12" s="523">
        <f t="shared" si="11"/>
        <v>0</v>
      </c>
      <c r="AS12" s="608">
        <f t="shared" ref="AS12:AS18" si="12">O12+AL12</f>
        <v>24</v>
      </c>
    </row>
    <row r="13" spans="1:45" ht="12" customHeight="1" x14ac:dyDescent="0.25">
      <c r="A13" s="205">
        <v>1</v>
      </c>
      <c r="B13" s="293">
        <v>5490</v>
      </c>
      <c r="C13" s="293">
        <v>600099474</v>
      </c>
      <c r="D13" s="293">
        <v>71173854</v>
      </c>
      <c r="E13" s="294" t="s">
        <v>437</v>
      </c>
      <c r="F13" s="293">
        <v>3111</v>
      </c>
      <c r="G13" s="256" t="s">
        <v>279</v>
      </c>
      <c r="H13" s="210" t="s">
        <v>262</v>
      </c>
      <c r="I13" s="580">
        <v>2342382</v>
      </c>
      <c r="J13" s="490">
        <v>1737672</v>
      </c>
      <c r="K13" s="490">
        <v>0</v>
      </c>
      <c r="L13" s="55">
        <v>587333</v>
      </c>
      <c r="M13" s="55">
        <v>17377</v>
      </c>
      <c r="N13" s="490">
        <v>0</v>
      </c>
      <c r="O13" s="719">
        <v>4</v>
      </c>
      <c r="P13" s="327">
        <f t="shared" si="0"/>
        <v>0</v>
      </c>
      <c r="Q13" s="573">
        <v>0</v>
      </c>
      <c r="R13" s="325">
        <v>0</v>
      </c>
      <c r="S13" s="325">
        <v>0</v>
      </c>
      <c r="T13" s="325">
        <v>0</v>
      </c>
      <c r="U13" s="325">
        <v>0</v>
      </c>
      <c r="V13" s="492">
        <f t="shared" si="1"/>
        <v>0</v>
      </c>
      <c r="W13" s="325">
        <v>0</v>
      </c>
      <c r="X13" s="325">
        <v>0</v>
      </c>
      <c r="Y13" s="325">
        <v>0</v>
      </c>
      <c r="Z13" s="492">
        <f t="shared" si="2"/>
        <v>0</v>
      </c>
      <c r="AA13" s="492">
        <f t="shared" si="3"/>
        <v>0</v>
      </c>
      <c r="AB13" s="494">
        <f t="shared" si="4"/>
        <v>0</v>
      </c>
      <c r="AC13" s="494">
        <f t="shared" si="5"/>
        <v>0</v>
      </c>
      <c r="AD13" s="492">
        <v>0</v>
      </c>
      <c r="AE13" s="753">
        <f t="shared" si="6"/>
        <v>0</v>
      </c>
      <c r="AF13" s="813">
        <v>0</v>
      </c>
      <c r="AG13" s="729">
        <v>0</v>
      </c>
      <c r="AH13" s="728">
        <v>0</v>
      </c>
      <c r="AI13" s="728">
        <v>0</v>
      </c>
      <c r="AJ13" s="326">
        <v>0</v>
      </c>
      <c r="AK13" s="326">
        <v>0</v>
      </c>
      <c r="AL13" s="609">
        <f t="shared" si="7"/>
        <v>0</v>
      </c>
      <c r="AM13" s="676">
        <f t="shared" si="8"/>
        <v>2342382</v>
      </c>
      <c r="AN13" s="492">
        <f t="shared" si="9"/>
        <v>1737672</v>
      </c>
      <c r="AO13" s="573">
        <f t="shared" si="10"/>
        <v>0</v>
      </c>
      <c r="AP13" s="492">
        <f t="shared" si="11"/>
        <v>587333</v>
      </c>
      <c r="AQ13" s="492">
        <f t="shared" si="11"/>
        <v>17377</v>
      </c>
      <c r="AR13" s="492">
        <f t="shared" si="11"/>
        <v>0</v>
      </c>
      <c r="AS13" s="609">
        <f t="shared" si="12"/>
        <v>4</v>
      </c>
    </row>
    <row r="14" spans="1:45" ht="12.95" customHeight="1" x14ac:dyDescent="0.25">
      <c r="A14" s="205">
        <v>1</v>
      </c>
      <c r="B14" s="143">
        <v>5490</v>
      </c>
      <c r="C14" s="293">
        <v>600099474</v>
      </c>
      <c r="D14" s="143">
        <v>71173854</v>
      </c>
      <c r="E14" s="295" t="s">
        <v>437</v>
      </c>
      <c r="F14" s="143">
        <v>3114</v>
      </c>
      <c r="G14" s="256" t="s">
        <v>511</v>
      </c>
      <c r="H14" s="210" t="s">
        <v>262</v>
      </c>
      <c r="I14" s="580">
        <v>6344228</v>
      </c>
      <c r="J14" s="490">
        <v>4706400</v>
      </c>
      <c r="K14" s="490">
        <v>0</v>
      </c>
      <c r="L14" s="55">
        <v>1590764</v>
      </c>
      <c r="M14" s="55">
        <v>47064</v>
      </c>
      <c r="N14" s="490">
        <v>0</v>
      </c>
      <c r="O14" s="719">
        <v>6</v>
      </c>
      <c r="P14" s="327">
        <f t="shared" si="0"/>
        <v>0</v>
      </c>
      <c r="Q14" s="573">
        <v>0</v>
      </c>
      <c r="R14" s="325">
        <v>0</v>
      </c>
      <c r="S14" s="325">
        <v>0</v>
      </c>
      <c r="T14" s="325">
        <v>0</v>
      </c>
      <c r="U14" s="325">
        <v>0</v>
      </c>
      <c r="V14" s="492">
        <f t="shared" si="1"/>
        <v>0</v>
      </c>
      <c r="W14" s="325">
        <v>0</v>
      </c>
      <c r="X14" s="325">
        <v>0</v>
      </c>
      <c r="Y14" s="325">
        <v>0</v>
      </c>
      <c r="Z14" s="492">
        <f t="shared" si="2"/>
        <v>0</v>
      </c>
      <c r="AA14" s="492">
        <f t="shared" si="3"/>
        <v>0</v>
      </c>
      <c r="AB14" s="494">
        <f t="shared" si="4"/>
        <v>0</v>
      </c>
      <c r="AC14" s="494">
        <f t="shared" si="5"/>
        <v>0</v>
      </c>
      <c r="AD14" s="492">
        <v>0</v>
      </c>
      <c r="AE14" s="753">
        <f t="shared" si="6"/>
        <v>0</v>
      </c>
      <c r="AF14" s="813">
        <v>0</v>
      </c>
      <c r="AG14" s="729">
        <v>0</v>
      </c>
      <c r="AH14" s="728">
        <v>0</v>
      </c>
      <c r="AI14" s="728">
        <v>0</v>
      </c>
      <c r="AJ14" s="326">
        <v>0</v>
      </c>
      <c r="AK14" s="326">
        <v>0</v>
      </c>
      <c r="AL14" s="609">
        <f t="shared" si="7"/>
        <v>0</v>
      </c>
      <c r="AM14" s="676">
        <f t="shared" si="8"/>
        <v>6344228</v>
      </c>
      <c r="AN14" s="492">
        <f t="shared" si="9"/>
        <v>4706400</v>
      </c>
      <c r="AO14" s="573">
        <f t="shared" si="10"/>
        <v>0</v>
      </c>
      <c r="AP14" s="492">
        <f t="shared" si="11"/>
        <v>1590764</v>
      </c>
      <c r="AQ14" s="492">
        <f t="shared" si="11"/>
        <v>47064</v>
      </c>
      <c r="AR14" s="492">
        <f t="shared" si="11"/>
        <v>0</v>
      </c>
      <c r="AS14" s="609">
        <f t="shared" si="12"/>
        <v>6</v>
      </c>
    </row>
    <row r="15" spans="1:45" ht="12.95" customHeight="1" x14ac:dyDescent="0.25">
      <c r="A15" s="205">
        <v>1</v>
      </c>
      <c r="B15" s="293">
        <v>5490</v>
      </c>
      <c r="C15" s="293">
        <v>600099474</v>
      </c>
      <c r="D15" s="293">
        <v>71173854</v>
      </c>
      <c r="E15" s="294" t="s">
        <v>437</v>
      </c>
      <c r="F15" s="143">
        <v>3114</v>
      </c>
      <c r="G15" s="248" t="s">
        <v>278</v>
      </c>
      <c r="H15" s="210" t="s">
        <v>263</v>
      </c>
      <c r="I15" s="580">
        <v>1248444</v>
      </c>
      <c r="J15" s="490">
        <v>926146</v>
      </c>
      <c r="K15" s="490">
        <v>0</v>
      </c>
      <c r="L15" s="55">
        <v>313037</v>
      </c>
      <c r="M15" s="55">
        <v>9261</v>
      </c>
      <c r="N15" s="490">
        <v>0</v>
      </c>
      <c r="O15" s="719">
        <v>2.25</v>
      </c>
      <c r="P15" s="327">
        <f t="shared" si="0"/>
        <v>0</v>
      </c>
      <c r="Q15" s="573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 t="shared" si="1"/>
        <v>0</v>
      </c>
      <c r="W15" s="325">
        <v>0</v>
      </c>
      <c r="X15" s="325">
        <v>0</v>
      </c>
      <c r="Y15" s="325">
        <v>0</v>
      </c>
      <c r="Z15" s="492">
        <f t="shared" si="2"/>
        <v>0</v>
      </c>
      <c r="AA15" s="492">
        <f t="shared" si="3"/>
        <v>0</v>
      </c>
      <c r="AB15" s="494">
        <f t="shared" si="4"/>
        <v>0</v>
      </c>
      <c r="AC15" s="494">
        <f t="shared" si="5"/>
        <v>0</v>
      </c>
      <c r="AD15" s="492">
        <v>0</v>
      </c>
      <c r="AE15" s="753">
        <f t="shared" si="6"/>
        <v>0</v>
      </c>
      <c r="AF15" s="813">
        <v>0</v>
      </c>
      <c r="AG15" s="729">
        <v>0</v>
      </c>
      <c r="AH15" s="728">
        <v>0</v>
      </c>
      <c r="AI15" s="728">
        <v>0</v>
      </c>
      <c r="AJ15" s="326">
        <v>0</v>
      </c>
      <c r="AK15" s="326">
        <v>0</v>
      </c>
      <c r="AL15" s="609">
        <f t="shared" si="7"/>
        <v>0</v>
      </c>
      <c r="AM15" s="676">
        <f t="shared" si="8"/>
        <v>1248444</v>
      </c>
      <c r="AN15" s="492">
        <f t="shared" si="9"/>
        <v>926146</v>
      </c>
      <c r="AO15" s="573">
        <f t="shared" si="10"/>
        <v>0</v>
      </c>
      <c r="AP15" s="492">
        <f t="shared" si="11"/>
        <v>313037</v>
      </c>
      <c r="AQ15" s="492">
        <f t="shared" si="11"/>
        <v>9261</v>
      </c>
      <c r="AR15" s="492">
        <f t="shared" si="11"/>
        <v>0</v>
      </c>
      <c r="AS15" s="609">
        <f t="shared" si="12"/>
        <v>2.25</v>
      </c>
    </row>
    <row r="16" spans="1:45" ht="12.95" customHeight="1" x14ac:dyDescent="0.25">
      <c r="A16" s="205">
        <v>1</v>
      </c>
      <c r="B16" s="143">
        <v>5490</v>
      </c>
      <c r="C16" s="293">
        <v>600099474</v>
      </c>
      <c r="D16" s="143">
        <v>71173854</v>
      </c>
      <c r="E16" s="295" t="s">
        <v>437</v>
      </c>
      <c r="F16" s="143">
        <v>3114</v>
      </c>
      <c r="G16" s="256" t="s">
        <v>279</v>
      </c>
      <c r="H16" s="210" t="s">
        <v>262</v>
      </c>
      <c r="I16" s="580">
        <v>3302756</v>
      </c>
      <c r="J16" s="490">
        <v>2450116</v>
      </c>
      <c r="K16" s="490">
        <v>0</v>
      </c>
      <c r="L16" s="55">
        <v>828139</v>
      </c>
      <c r="M16" s="55">
        <v>24501</v>
      </c>
      <c r="N16" s="490">
        <v>0</v>
      </c>
      <c r="O16" s="719">
        <v>5.7222</v>
      </c>
      <c r="P16" s="327">
        <f t="shared" si="0"/>
        <v>0</v>
      </c>
      <c r="Q16" s="573">
        <v>0</v>
      </c>
      <c r="R16" s="325">
        <v>0</v>
      </c>
      <c r="S16" s="325">
        <v>0</v>
      </c>
      <c r="T16" s="325">
        <v>0</v>
      </c>
      <c r="U16" s="325">
        <v>0</v>
      </c>
      <c r="V16" s="492">
        <f t="shared" si="1"/>
        <v>0</v>
      </c>
      <c r="W16" s="325">
        <v>0</v>
      </c>
      <c r="X16" s="325">
        <v>0</v>
      </c>
      <c r="Y16" s="325">
        <v>0</v>
      </c>
      <c r="Z16" s="492">
        <f t="shared" si="2"/>
        <v>0</v>
      </c>
      <c r="AA16" s="492">
        <f t="shared" si="3"/>
        <v>0</v>
      </c>
      <c r="AB16" s="494">
        <f t="shared" si="4"/>
        <v>0</v>
      </c>
      <c r="AC16" s="494">
        <f t="shared" si="5"/>
        <v>0</v>
      </c>
      <c r="AD16" s="492">
        <v>0</v>
      </c>
      <c r="AE16" s="753">
        <f t="shared" si="6"/>
        <v>0</v>
      </c>
      <c r="AF16" s="813">
        <v>0</v>
      </c>
      <c r="AG16" s="729">
        <v>0</v>
      </c>
      <c r="AH16" s="728">
        <v>0</v>
      </c>
      <c r="AI16" s="728">
        <v>0</v>
      </c>
      <c r="AJ16" s="326">
        <v>0</v>
      </c>
      <c r="AK16" s="326">
        <v>0</v>
      </c>
      <c r="AL16" s="609">
        <f t="shared" si="7"/>
        <v>0</v>
      </c>
      <c r="AM16" s="676">
        <f t="shared" si="8"/>
        <v>3302756</v>
      </c>
      <c r="AN16" s="492">
        <f t="shared" si="9"/>
        <v>2450116</v>
      </c>
      <c r="AO16" s="573">
        <f t="shared" si="10"/>
        <v>0</v>
      </c>
      <c r="AP16" s="492">
        <f t="shared" si="11"/>
        <v>828139</v>
      </c>
      <c r="AQ16" s="492">
        <f t="shared" si="11"/>
        <v>24501</v>
      </c>
      <c r="AR16" s="492">
        <f t="shared" si="11"/>
        <v>0</v>
      </c>
      <c r="AS16" s="609">
        <f t="shared" si="12"/>
        <v>5.7222</v>
      </c>
    </row>
    <row r="17" spans="1:45" ht="12.95" customHeight="1" x14ac:dyDescent="0.25">
      <c r="A17" s="205">
        <v>1</v>
      </c>
      <c r="B17" s="293">
        <v>5490</v>
      </c>
      <c r="C17" s="293">
        <v>600099474</v>
      </c>
      <c r="D17" s="293">
        <v>71173854</v>
      </c>
      <c r="E17" s="294" t="s">
        <v>797</v>
      </c>
      <c r="F17" s="143">
        <v>3143</v>
      </c>
      <c r="G17" s="248" t="s">
        <v>794</v>
      </c>
      <c r="H17" s="210" t="s">
        <v>262</v>
      </c>
      <c r="I17" s="580">
        <v>1067923</v>
      </c>
      <c r="J17" s="490">
        <v>792228</v>
      </c>
      <c r="K17" s="490">
        <v>0</v>
      </c>
      <c r="L17" s="55">
        <v>267773</v>
      </c>
      <c r="M17" s="55">
        <v>7922</v>
      </c>
      <c r="N17" s="490">
        <v>0</v>
      </c>
      <c r="O17" s="719">
        <v>1.5</v>
      </c>
      <c r="P17" s="327">
        <f t="shared" si="0"/>
        <v>0</v>
      </c>
      <c r="Q17" s="573">
        <v>0</v>
      </c>
      <c r="R17" s="325">
        <v>0</v>
      </c>
      <c r="S17" s="325">
        <v>0</v>
      </c>
      <c r="T17" s="325">
        <v>0</v>
      </c>
      <c r="U17" s="325">
        <v>0</v>
      </c>
      <c r="V17" s="492">
        <f t="shared" si="1"/>
        <v>0</v>
      </c>
      <c r="W17" s="325">
        <v>0</v>
      </c>
      <c r="X17" s="325">
        <v>0</v>
      </c>
      <c r="Y17" s="325">
        <v>0</v>
      </c>
      <c r="Z17" s="492">
        <f t="shared" si="2"/>
        <v>0</v>
      </c>
      <c r="AA17" s="492">
        <f t="shared" si="3"/>
        <v>0</v>
      </c>
      <c r="AB17" s="494">
        <f t="shared" si="4"/>
        <v>0</v>
      </c>
      <c r="AC17" s="494">
        <f t="shared" si="5"/>
        <v>0</v>
      </c>
      <c r="AD17" s="492">
        <v>0</v>
      </c>
      <c r="AE17" s="753">
        <f t="shared" si="6"/>
        <v>0</v>
      </c>
      <c r="AF17" s="813">
        <v>0</v>
      </c>
      <c r="AG17" s="729">
        <v>0</v>
      </c>
      <c r="AH17" s="728">
        <v>0</v>
      </c>
      <c r="AI17" s="728">
        <v>0</v>
      </c>
      <c r="AJ17" s="326">
        <v>0</v>
      </c>
      <c r="AK17" s="326">
        <v>0</v>
      </c>
      <c r="AL17" s="609">
        <f t="shared" si="7"/>
        <v>0</v>
      </c>
      <c r="AM17" s="676">
        <f t="shared" si="8"/>
        <v>1067923</v>
      </c>
      <c r="AN17" s="492">
        <f t="shared" si="9"/>
        <v>792228</v>
      </c>
      <c r="AO17" s="573">
        <f t="shared" si="10"/>
        <v>0</v>
      </c>
      <c r="AP17" s="492">
        <f t="shared" si="11"/>
        <v>267773</v>
      </c>
      <c r="AQ17" s="492">
        <f t="shared" si="11"/>
        <v>7922</v>
      </c>
      <c r="AR17" s="492">
        <f t="shared" si="11"/>
        <v>0</v>
      </c>
      <c r="AS17" s="609">
        <f t="shared" si="12"/>
        <v>1.5</v>
      </c>
    </row>
    <row r="18" spans="1:45" ht="12.95" customHeight="1" x14ac:dyDescent="0.25">
      <c r="A18" s="205">
        <v>1</v>
      </c>
      <c r="B18" s="293">
        <v>5490</v>
      </c>
      <c r="C18" s="293">
        <v>600099474</v>
      </c>
      <c r="D18" s="293">
        <v>71173854</v>
      </c>
      <c r="E18" s="294" t="s">
        <v>437</v>
      </c>
      <c r="F18" s="143">
        <v>3143</v>
      </c>
      <c r="G18" s="248" t="s">
        <v>771</v>
      </c>
      <c r="H18" s="210" t="s">
        <v>262</v>
      </c>
      <c r="I18" s="580">
        <v>646390</v>
      </c>
      <c r="J18" s="490">
        <v>479518</v>
      </c>
      <c r="K18" s="490">
        <v>0</v>
      </c>
      <c r="L18" s="55">
        <v>162077</v>
      </c>
      <c r="M18" s="55">
        <v>4795</v>
      </c>
      <c r="N18" s="490">
        <v>0</v>
      </c>
      <c r="O18" s="719">
        <v>1.1667000000000001</v>
      </c>
      <c r="P18" s="327">
        <f t="shared" si="0"/>
        <v>0</v>
      </c>
      <c r="Q18" s="573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 t="shared" si="1"/>
        <v>0</v>
      </c>
      <c r="W18" s="325">
        <v>0</v>
      </c>
      <c r="X18" s="325">
        <v>0</v>
      </c>
      <c r="Y18" s="325">
        <v>0</v>
      </c>
      <c r="Z18" s="492">
        <f t="shared" si="2"/>
        <v>0</v>
      </c>
      <c r="AA18" s="492">
        <f t="shared" si="3"/>
        <v>0</v>
      </c>
      <c r="AB18" s="494">
        <f t="shared" si="4"/>
        <v>0</v>
      </c>
      <c r="AC18" s="494">
        <f t="shared" si="5"/>
        <v>0</v>
      </c>
      <c r="AD18" s="492">
        <v>0</v>
      </c>
      <c r="AE18" s="753">
        <f t="shared" si="6"/>
        <v>0</v>
      </c>
      <c r="AF18" s="813">
        <v>0</v>
      </c>
      <c r="AG18" s="729">
        <v>0</v>
      </c>
      <c r="AH18" s="728">
        <v>0</v>
      </c>
      <c r="AI18" s="728">
        <v>0</v>
      </c>
      <c r="AJ18" s="326">
        <v>0</v>
      </c>
      <c r="AK18" s="326">
        <v>0</v>
      </c>
      <c r="AL18" s="609">
        <f t="shared" si="7"/>
        <v>0</v>
      </c>
      <c r="AM18" s="676">
        <f t="shared" si="8"/>
        <v>646390</v>
      </c>
      <c r="AN18" s="492">
        <f t="shared" si="9"/>
        <v>479518</v>
      </c>
      <c r="AO18" s="573">
        <f t="shared" si="10"/>
        <v>0</v>
      </c>
      <c r="AP18" s="492">
        <f t="shared" si="11"/>
        <v>162077</v>
      </c>
      <c r="AQ18" s="492">
        <f t="shared" si="11"/>
        <v>4795</v>
      </c>
      <c r="AR18" s="492">
        <f t="shared" si="11"/>
        <v>0</v>
      </c>
      <c r="AS18" s="609">
        <f t="shared" si="12"/>
        <v>1.1667000000000001</v>
      </c>
    </row>
    <row r="19" spans="1:45" ht="12.95" customHeight="1" x14ac:dyDescent="0.25">
      <c r="A19" s="144">
        <v>1</v>
      </c>
      <c r="B19" s="41">
        <v>5490</v>
      </c>
      <c r="C19" s="41">
        <v>600099474</v>
      </c>
      <c r="D19" s="41">
        <v>71173854</v>
      </c>
      <c r="E19" s="297" t="s">
        <v>438</v>
      </c>
      <c r="F19" s="41"/>
      <c r="G19" s="297"/>
      <c r="H19" s="128"/>
      <c r="I19" s="648">
        <v>33715086</v>
      </c>
      <c r="J19" s="566">
        <v>25011192</v>
      </c>
      <c r="K19" s="566">
        <v>0</v>
      </c>
      <c r="L19" s="366">
        <v>8453783</v>
      </c>
      <c r="M19" s="366">
        <v>250111</v>
      </c>
      <c r="N19" s="566">
        <v>0</v>
      </c>
      <c r="O19" s="730">
        <v>44.6389</v>
      </c>
      <c r="P19" s="653">
        <f t="shared" ref="P19:AS19" si="13">SUM(P12:P18)</f>
        <v>0</v>
      </c>
      <c r="Q19" s="465">
        <f t="shared" si="13"/>
        <v>0</v>
      </c>
      <c r="R19" s="366">
        <f t="shared" si="13"/>
        <v>0</v>
      </c>
      <c r="S19" s="366">
        <f t="shared" si="13"/>
        <v>0</v>
      </c>
      <c r="T19" s="366">
        <f t="shared" si="13"/>
        <v>0</v>
      </c>
      <c r="U19" s="366">
        <f t="shared" si="13"/>
        <v>0</v>
      </c>
      <c r="V19" s="366">
        <f t="shared" si="13"/>
        <v>0</v>
      </c>
      <c r="W19" s="366">
        <f t="shared" si="13"/>
        <v>0</v>
      </c>
      <c r="X19" s="366">
        <f t="shared" si="13"/>
        <v>0</v>
      </c>
      <c r="Y19" s="366">
        <f t="shared" si="13"/>
        <v>0</v>
      </c>
      <c r="Z19" s="366">
        <f t="shared" si="13"/>
        <v>0</v>
      </c>
      <c r="AA19" s="366">
        <f t="shared" si="13"/>
        <v>0</v>
      </c>
      <c r="AB19" s="366">
        <f t="shared" si="13"/>
        <v>0</v>
      </c>
      <c r="AC19" s="366">
        <f t="shared" si="13"/>
        <v>0</v>
      </c>
      <c r="AD19" s="366">
        <f t="shared" si="13"/>
        <v>0</v>
      </c>
      <c r="AE19" s="807">
        <f t="shared" si="13"/>
        <v>0</v>
      </c>
      <c r="AF19" s="814">
        <f t="shared" si="13"/>
        <v>0</v>
      </c>
      <c r="AG19" s="731">
        <f t="shared" si="13"/>
        <v>0</v>
      </c>
      <c r="AH19" s="731">
        <f t="shared" si="13"/>
        <v>0</v>
      </c>
      <c r="AI19" s="731">
        <f t="shared" si="13"/>
        <v>0</v>
      </c>
      <c r="AJ19" s="367">
        <f t="shared" si="13"/>
        <v>0</v>
      </c>
      <c r="AK19" s="367">
        <f t="shared" si="13"/>
        <v>0</v>
      </c>
      <c r="AL19" s="298">
        <f t="shared" si="13"/>
        <v>0</v>
      </c>
      <c r="AM19" s="653">
        <f t="shared" si="13"/>
        <v>33715086</v>
      </c>
      <c r="AN19" s="366">
        <f t="shared" si="13"/>
        <v>25011192</v>
      </c>
      <c r="AO19" s="366">
        <f t="shared" si="13"/>
        <v>0</v>
      </c>
      <c r="AP19" s="366">
        <f t="shared" si="13"/>
        <v>8453783</v>
      </c>
      <c r="AQ19" s="366">
        <f t="shared" si="13"/>
        <v>250111</v>
      </c>
      <c r="AR19" s="366">
        <f t="shared" si="13"/>
        <v>0</v>
      </c>
      <c r="AS19" s="298">
        <f t="shared" si="13"/>
        <v>44.6389</v>
      </c>
    </row>
    <row r="20" spans="1:45" ht="12.95" customHeight="1" x14ac:dyDescent="0.25">
      <c r="A20" s="205">
        <v>2</v>
      </c>
      <c r="B20" s="299">
        <v>5460</v>
      </c>
      <c r="C20" s="299">
        <v>600098621</v>
      </c>
      <c r="D20" s="299">
        <v>72743549</v>
      </c>
      <c r="E20" s="142" t="s">
        <v>439</v>
      </c>
      <c r="F20" s="299">
        <v>3111</v>
      </c>
      <c r="G20" s="296" t="s">
        <v>290</v>
      </c>
      <c r="H20" s="300" t="s">
        <v>262</v>
      </c>
      <c r="I20" s="580">
        <v>6475490</v>
      </c>
      <c r="J20" s="490">
        <v>4803776</v>
      </c>
      <c r="K20" s="490">
        <v>0</v>
      </c>
      <c r="L20" s="55">
        <v>1623676</v>
      </c>
      <c r="M20" s="55">
        <v>48038</v>
      </c>
      <c r="N20" s="490">
        <v>0</v>
      </c>
      <c r="O20" s="719">
        <v>8.0960000000000001</v>
      </c>
      <c r="P20" s="552">
        <f>W20*-1</f>
        <v>0</v>
      </c>
      <c r="Q20" s="573">
        <v>0</v>
      </c>
      <c r="R20" s="325">
        <v>0</v>
      </c>
      <c r="S20" s="325">
        <v>0</v>
      </c>
      <c r="T20" s="325">
        <v>0</v>
      </c>
      <c r="U20" s="325">
        <v>0</v>
      </c>
      <c r="V20" s="492">
        <f>P20+Q20+R20+S20+T20+U20</f>
        <v>0</v>
      </c>
      <c r="W20" s="325">
        <v>0</v>
      </c>
      <c r="X20" s="325">
        <v>0</v>
      </c>
      <c r="Y20" s="325">
        <v>0</v>
      </c>
      <c r="Z20" s="492">
        <f>W20+X20+Y20</f>
        <v>0</v>
      </c>
      <c r="AA20" s="492">
        <f>V20+Z20</f>
        <v>0</v>
      </c>
      <c r="AB20" s="494">
        <f>ROUND((V20+Z20)*33.8%,0)</f>
        <v>0</v>
      </c>
      <c r="AC20" s="494">
        <f>ROUND(V20*1%,0)</f>
        <v>0</v>
      </c>
      <c r="AD20" s="492">
        <v>0</v>
      </c>
      <c r="AE20" s="753">
        <f t="shared" ref="AE20:AE21" si="14">AA20+AB20+AC20+AD20</f>
        <v>0</v>
      </c>
      <c r="AF20" s="813">
        <v>0</v>
      </c>
      <c r="AG20" s="729">
        <v>0</v>
      </c>
      <c r="AH20" s="728">
        <v>0</v>
      </c>
      <c r="AI20" s="728">
        <v>0</v>
      </c>
      <c r="AJ20" s="326">
        <v>0</v>
      </c>
      <c r="AK20" s="326">
        <v>0</v>
      </c>
      <c r="AL20" s="609">
        <f>SUM(AF20:AK20)</f>
        <v>0</v>
      </c>
      <c r="AM20" s="676">
        <f>I20+AE20</f>
        <v>6475490</v>
      </c>
      <c r="AN20" s="492">
        <f>J20+V20</f>
        <v>4803776</v>
      </c>
      <c r="AO20" s="573">
        <f>K20+Z20</f>
        <v>0</v>
      </c>
      <c r="AP20" s="492">
        <f t="shared" ref="AP20:AR21" si="15">L20+AB20</f>
        <v>1623676</v>
      </c>
      <c r="AQ20" s="492">
        <f t="shared" si="15"/>
        <v>48038</v>
      </c>
      <c r="AR20" s="492">
        <f t="shared" si="15"/>
        <v>0</v>
      </c>
      <c r="AS20" s="609">
        <f>O20+AL20</f>
        <v>8.0960000000000001</v>
      </c>
    </row>
    <row r="21" spans="1:45" ht="12.95" customHeight="1" x14ac:dyDescent="0.25">
      <c r="A21" s="205">
        <v>2</v>
      </c>
      <c r="B21" s="143">
        <v>5460</v>
      </c>
      <c r="C21" s="143">
        <v>600098621</v>
      </c>
      <c r="D21" s="143">
        <v>72743549</v>
      </c>
      <c r="E21" s="295" t="s">
        <v>439</v>
      </c>
      <c r="F21" s="299">
        <v>3111</v>
      </c>
      <c r="G21" s="248" t="s">
        <v>278</v>
      </c>
      <c r="H21" s="210" t="s">
        <v>263</v>
      </c>
      <c r="I21" s="580">
        <v>1604849</v>
      </c>
      <c r="J21" s="490">
        <v>1190541</v>
      </c>
      <c r="K21" s="490">
        <v>0</v>
      </c>
      <c r="L21" s="55">
        <v>402403</v>
      </c>
      <c r="M21" s="55">
        <v>11905</v>
      </c>
      <c r="N21" s="490">
        <v>0</v>
      </c>
      <c r="O21" s="719">
        <v>3</v>
      </c>
      <c r="P21" s="327">
        <f>W21*-1</f>
        <v>0</v>
      </c>
      <c r="Q21" s="573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>P21+Q21+R21+S21+T21+U21</f>
        <v>0</v>
      </c>
      <c r="W21" s="325">
        <v>0</v>
      </c>
      <c r="X21" s="325">
        <v>0</v>
      </c>
      <c r="Y21" s="325">
        <v>0</v>
      </c>
      <c r="Z21" s="492">
        <f>W21+X21+Y21</f>
        <v>0</v>
      </c>
      <c r="AA21" s="492">
        <f>V21+Z21</f>
        <v>0</v>
      </c>
      <c r="AB21" s="494">
        <f>ROUND((V21+Z21)*33.8%,0)</f>
        <v>0</v>
      </c>
      <c r="AC21" s="494">
        <f>ROUND(V21*1%,0)</f>
        <v>0</v>
      </c>
      <c r="AD21" s="492">
        <v>0</v>
      </c>
      <c r="AE21" s="753">
        <f t="shared" si="14"/>
        <v>0</v>
      </c>
      <c r="AF21" s="813">
        <v>0</v>
      </c>
      <c r="AG21" s="729">
        <v>0</v>
      </c>
      <c r="AH21" s="728">
        <v>0</v>
      </c>
      <c r="AI21" s="728">
        <v>0</v>
      </c>
      <c r="AJ21" s="326">
        <v>0</v>
      </c>
      <c r="AK21" s="326">
        <v>0</v>
      </c>
      <c r="AL21" s="609">
        <f>SUM(AF21:AK21)</f>
        <v>0</v>
      </c>
      <c r="AM21" s="676">
        <f>I21+AE21</f>
        <v>1604849</v>
      </c>
      <c r="AN21" s="492">
        <f>J21+V21</f>
        <v>1190541</v>
      </c>
      <c r="AO21" s="573">
        <f>K21+Z21</f>
        <v>0</v>
      </c>
      <c r="AP21" s="492">
        <f t="shared" si="15"/>
        <v>402403</v>
      </c>
      <c r="AQ21" s="492">
        <f t="shared" si="15"/>
        <v>11905</v>
      </c>
      <c r="AR21" s="492">
        <f t="shared" si="15"/>
        <v>0</v>
      </c>
      <c r="AS21" s="609">
        <f>O21+AL21</f>
        <v>3</v>
      </c>
    </row>
    <row r="22" spans="1:45" ht="12.95" customHeight="1" x14ac:dyDescent="0.25">
      <c r="A22" s="144">
        <v>2</v>
      </c>
      <c r="B22" s="41">
        <v>5460</v>
      </c>
      <c r="C22" s="41">
        <v>600098621</v>
      </c>
      <c r="D22" s="41">
        <v>72743549</v>
      </c>
      <c r="E22" s="297" t="s">
        <v>440</v>
      </c>
      <c r="F22" s="41"/>
      <c r="G22" s="297"/>
      <c r="H22" s="128"/>
      <c r="I22" s="649">
        <v>8080339</v>
      </c>
      <c r="J22" s="567">
        <v>5994317</v>
      </c>
      <c r="K22" s="567">
        <v>0</v>
      </c>
      <c r="L22" s="351">
        <v>2026079</v>
      </c>
      <c r="M22" s="351">
        <v>59943</v>
      </c>
      <c r="N22" s="567">
        <v>0</v>
      </c>
      <c r="O22" s="732">
        <v>11.096</v>
      </c>
      <c r="P22" s="654">
        <f t="shared" ref="P22:AS22" si="16">SUM(P20:P21)</f>
        <v>0</v>
      </c>
      <c r="Q22" s="466">
        <f t="shared" si="16"/>
        <v>0</v>
      </c>
      <c r="R22" s="351">
        <f t="shared" si="16"/>
        <v>0</v>
      </c>
      <c r="S22" s="351">
        <f t="shared" si="16"/>
        <v>0</v>
      </c>
      <c r="T22" s="351">
        <f t="shared" si="16"/>
        <v>0</v>
      </c>
      <c r="U22" s="351">
        <f t="shared" si="16"/>
        <v>0</v>
      </c>
      <c r="V22" s="351">
        <f t="shared" si="16"/>
        <v>0</v>
      </c>
      <c r="W22" s="351">
        <f t="shared" si="16"/>
        <v>0</v>
      </c>
      <c r="X22" s="351">
        <f t="shared" si="16"/>
        <v>0</v>
      </c>
      <c r="Y22" s="351">
        <f t="shared" si="16"/>
        <v>0</v>
      </c>
      <c r="Z22" s="351">
        <f t="shared" si="16"/>
        <v>0</v>
      </c>
      <c r="AA22" s="351">
        <f t="shared" si="16"/>
        <v>0</v>
      </c>
      <c r="AB22" s="351">
        <f t="shared" si="16"/>
        <v>0</v>
      </c>
      <c r="AC22" s="351">
        <f t="shared" si="16"/>
        <v>0</v>
      </c>
      <c r="AD22" s="351">
        <f t="shared" si="16"/>
        <v>0</v>
      </c>
      <c r="AE22" s="808">
        <f t="shared" si="16"/>
        <v>0</v>
      </c>
      <c r="AF22" s="815">
        <f t="shared" si="16"/>
        <v>0</v>
      </c>
      <c r="AG22" s="733">
        <f t="shared" si="16"/>
        <v>0</v>
      </c>
      <c r="AH22" s="733">
        <f t="shared" si="16"/>
        <v>0</v>
      </c>
      <c r="AI22" s="733">
        <f t="shared" si="16"/>
        <v>0</v>
      </c>
      <c r="AJ22" s="352">
        <f t="shared" si="16"/>
        <v>0</v>
      </c>
      <c r="AK22" s="352">
        <f t="shared" si="16"/>
        <v>0</v>
      </c>
      <c r="AL22" s="204">
        <f t="shared" si="16"/>
        <v>0</v>
      </c>
      <c r="AM22" s="654">
        <f t="shared" si="16"/>
        <v>8080339</v>
      </c>
      <c r="AN22" s="351">
        <f t="shared" si="16"/>
        <v>5994317</v>
      </c>
      <c r="AO22" s="351">
        <f t="shared" si="16"/>
        <v>0</v>
      </c>
      <c r="AP22" s="351">
        <f t="shared" si="16"/>
        <v>2026079</v>
      </c>
      <c r="AQ22" s="351">
        <f t="shared" si="16"/>
        <v>59943</v>
      </c>
      <c r="AR22" s="351">
        <f t="shared" si="16"/>
        <v>0</v>
      </c>
      <c r="AS22" s="204">
        <f t="shared" si="16"/>
        <v>11.096</v>
      </c>
    </row>
    <row r="23" spans="1:45" ht="12.95" customHeight="1" x14ac:dyDescent="0.25">
      <c r="A23" s="205">
        <v>4</v>
      </c>
      <c r="B23" s="143">
        <v>5464</v>
      </c>
      <c r="C23" s="143">
        <v>600098869</v>
      </c>
      <c r="D23" s="143">
        <v>72743719</v>
      </c>
      <c r="E23" s="303" t="s">
        <v>441</v>
      </c>
      <c r="F23" s="304">
        <v>3111</v>
      </c>
      <c r="G23" s="296" t="s">
        <v>290</v>
      </c>
      <c r="H23" s="210" t="s">
        <v>262</v>
      </c>
      <c r="I23" s="580">
        <v>4968074</v>
      </c>
      <c r="J23" s="490">
        <v>3649782</v>
      </c>
      <c r="K23" s="490">
        <v>36000</v>
      </c>
      <c r="L23" s="55">
        <v>1245794</v>
      </c>
      <c r="M23" s="55">
        <v>36498</v>
      </c>
      <c r="N23" s="490">
        <v>0</v>
      </c>
      <c r="O23" s="719">
        <v>6</v>
      </c>
      <c r="P23" s="552">
        <f>W23*-1</f>
        <v>-24000</v>
      </c>
      <c r="Q23" s="573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>P23+Q23+R23+S23+T23+U23</f>
        <v>-24000</v>
      </c>
      <c r="W23" s="325">
        <v>24000</v>
      </c>
      <c r="X23" s="325">
        <v>0</v>
      </c>
      <c r="Y23" s="325">
        <v>0</v>
      </c>
      <c r="Z23" s="492">
        <f>W23+X23+Y23</f>
        <v>24000</v>
      </c>
      <c r="AA23" s="492">
        <f>V23+Z23</f>
        <v>0</v>
      </c>
      <c r="AB23" s="494">
        <f>ROUND((V23+Z23)*33.8%,0)</f>
        <v>0</v>
      </c>
      <c r="AC23" s="494">
        <f>ROUND(V23*1%,0)</f>
        <v>-240</v>
      </c>
      <c r="AD23" s="492">
        <v>0</v>
      </c>
      <c r="AE23" s="753">
        <f t="shared" ref="AE23:AE24" si="17">AA23+AB23+AC23+AD23</f>
        <v>-240</v>
      </c>
      <c r="AF23" s="813">
        <v>0</v>
      </c>
      <c r="AG23" s="729">
        <v>0</v>
      </c>
      <c r="AH23" s="728">
        <v>0</v>
      </c>
      <c r="AI23" s="728">
        <v>0</v>
      </c>
      <c r="AJ23" s="326">
        <v>0</v>
      </c>
      <c r="AK23" s="326">
        <v>0</v>
      </c>
      <c r="AL23" s="609">
        <f>SUM(AF23:AK23)</f>
        <v>0</v>
      </c>
      <c r="AM23" s="676">
        <f>I23+AE23</f>
        <v>4967834</v>
      </c>
      <c r="AN23" s="492">
        <f>J23+V23</f>
        <v>3625782</v>
      </c>
      <c r="AO23" s="573">
        <f>K23+Z23</f>
        <v>60000</v>
      </c>
      <c r="AP23" s="492">
        <f t="shared" ref="AP23:AR24" si="18">L23+AB23</f>
        <v>1245794</v>
      </c>
      <c r="AQ23" s="492">
        <f t="shared" si="18"/>
        <v>36258</v>
      </c>
      <c r="AR23" s="492">
        <f t="shared" si="18"/>
        <v>0</v>
      </c>
      <c r="AS23" s="609">
        <f>O23+AL23</f>
        <v>6</v>
      </c>
    </row>
    <row r="24" spans="1:45" ht="12.95" customHeight="1" x14ac:dyDescent="0.25">
      <c r="A24" s="205">
        <v>4</v>
      </c>
      <c r="B24" s="143">
        <v>5464</v>
      </c>
      <c r="C24" s="143">
        <v>600098869</v>
      </c>
      <c r="D24" s="143">
        <v>72743719</v>
      </c>
      <c r="E24" s="294" t="s">
        <v>441</v>
      </c>
      <c r="F24" s="304">
        <v>3111</v>
      </c>
      <c r="G24" s="248" t="s">
        <v>278</v>
      </c>
      <c r="H24" s="210" t="s">
        <v>263</v>
      </c>
      <c r="I24" s="580">
        <v>0</v>
      </c>
      <c r="J24" s="490">
        <v>0</v>
      </c>
      <c r="K24" s="490">
        <v>0</v>
      </c>
      <c r="L24" s="55">
        <v>0</v>
      </c>
      <c r="M24" s="55">
        <v>0</v>
      </c>
      <c r="N24" s="490">
        <v>0</v>
      </c>
      <c r="O24" s="719">
        <v>0</v>
      </c>
      <c r="P24" s="327">
        <f>W24*-1</f>
        <v>0</v>
      </c>
      <c r="Q24" s="573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>P24+Q24+R24+S24+T24+U24</f>
        <v>0</v>
      </c>
      <c r="W24" s="325">
        <v>0</v>
      </c>
      <c r="X24" s="325">
        <v>0</v>
      </c>
      <c r="Y24" s="325">
        <v>0</v>
      </c>
      <c r="Z24" s="492">
        <f>W24+X24+Y24</f>
        <v>0</v>
      </c>
      <c r="AA24" s="492">
        <f>V24+Z24</f>
        <v>0</v>
      </c>
      <c r="AB24" s="494">
        <f>ROUND((V24+Z24)*33.8%,0)</f>
        <v>0</v>
      </c>
      <c r="AC24" s="494">
        <f>ROUND(V24*1%,0)</f>
        <v>0</v>
      </c>
      <c r="AD24" s="492">
        <v>0</v>
      </c>
      <c r="AE24" s="753">
        <f t="shared" si="17"/>
        <v>0</v>
      </c>
      <c r="AF24" s="813">
        <v>0</v>
      </c>
      <c r="AG24" s="729">
        <v>0</v>
      </c>
      <c r="AH24" s="728">
        <v>0</v>
      </c>
      <c r="AI24" s="728">
        <v>0</v>
      </c>
      <c r="AJ24" s="326">
        <v>0</v>
      </c>
      <c r="AK24" s="326">
        <v>0</v>
      </c>
      <c r="AL24" s="609">
        <f>SUM(AF24:AK24)</f>
        <v>0</v>
      </c>
      <c r="AM24" s="676">
        <f>I24+AE24</f>
        <v>0</v>
      </c>
      <c r="AN24" s="492">
        <f>J24+V24</f>
        <v>0</v>
      </c>
      <c r="AO24" s="573">
        <f>K24+Z24</f>
        <v>0</v>
      </c>
      <c r="AP24" s="492">
        <f t="shared" si="18"/>
        <v>0</v>
      </c>
      <c r="AQ24" s="492">
        <f t="shared" si="18"/>
        <v>0</v>
      </c>
      <c r="AR24" s="492">
        <f t="shared" si="18"/>
        <v>0</v>
      </c>
      <c r="AS24" s="609">
        <f>O24+AL24</f>
        <v>0</v>
      </c>
    </row>
    <row r="25" spans="1:45" ht="12.95" customHeight="1" x14ac:dyDescent="0.25">
      <c r="A25" s="144">
        <v>4</v>
      </c>
      <c r="B25" s="41">
        <v>5464</v>
      </c>
      <c r="C25" s="41">
        <v>600098869</v>
      </c>
      <c r="D25" s="41">
        <v>72743719</v>
      </c>
      <c r="E25" s="306" t="s">
        <v>442</v>
      </c>
      <c r="F25" s="307"/>
      <c r="G25" s="306"/>
      <c r="H25" s="308"/>
      <c r="I25" s="649">
        <v>4968074</v>
      </c>
      <c r="J25" s="567">
        <v>3649782</v>
      </c>
      <c r="K25" s="567">
        <v>36000</v>
      </c>
      <c r="L25" s="351">
        <v>1245794</v>
      </c>
      <c r="M25" s="351">
        <v>36498</v>
      </c>
      <c r="N25" s="567">
        <v>0</v>
      </c>
      <c r="O25" s="732">
        <v>6</v>
      </c>
      <c r="P25" s="654">
        <f t="shared" ref="P25:AS25" si="19">SUM(P23:P24)</f>
        <v>-24000</v>
      </c>
      <c r="Q25" s="466">
        <f t="shared" si="19"/>
        <v>0</v>
      </c>
      <c r="R25" s="351">
        <f t="shared" si="19"/>
        <v>0</v>
      </c>
      <c r="S25" s="351">
        <f t="shared" si="19"/>
        <v>0</v>
      </c>
      <c r="T25" s="351">
        <f t="shared" si="19"/>
        <v>0</v>
      </c>
      <c r="U25" s="351">
        <f t="shared" si="19"/>
        <v>0</v>
      </c>
      <c r="V25" s="351">
        <f t="shared" si="19"/>
        <v>-24000</v>
      </c>
      <c r="W25" s="351">
        <f t="shared" si="19"/>
        <v>24000</v>
      </c>
      <c r="X25" s="351">
        <f t="shared" si="19"/>
        <v>0</v>
      </c>
      <c r="Y25" s="351">
        <f t="shared" si="19"/>
        <v>0</v>
      </c>
      <c r="Z25" s="351">
        <f t="shared" si="19"/>
        <v>24000</v>
      </c>
      <c r="AA25" s="351">
        <f t="shared" si="19"/>
        <v>0</v>
      </c>
      <c r="AB25" s="351">
        <f t="shared" si="19"/>
        <v>0</v>
      </c>
      <c r="AC25" s="351">
        <f t="shared" si="19"/>
        <v>-240</v>
      </c>
      <c r="AD25" s="351">
        <f t="shared" si="19"/>
        <v>0</v>
      </c>
      <c r="AE25" s="808">
        <f t="shared" si="19"/>
        <v>-240</v>
      </c>
      <c r="AF25" s="815">
        <f t="shared" si="19"/>
        <v>0</v>
      </c>
      <c r="AG25" s="733">
        <f t="shared" si="19"/>
        <v>0</v>
      </c>
      <c r="AH25" s="733">
        <f t="shared" si="19"/>
        <v>0</v>
      </c>
      <c r="AI25" s="733">
        <f t="shared" si="19"/>
        <v>0</v>
      </c>
      <c r="AJ25" s="352">
        <f t="shared" si="19"/>
        <v>0</v>
      </c>
      <c r="AK25" s="352">
        <f t="shared" si="19"/>
        <v>0</v>
      </c>
      <c r="AL25" s="204">
        <f t="shared" si="19"/>
        <v>0</v>
      </c>
      <c r="AM25" s="654">
        <f t="shared" si="19"/>
        <v>4967834</v>
      </c>
      <c r="AN25" s="466">
        <f t="shared" si="19"/>
        <v>3625782</v>
      </c>
      <c r="AO25" s="351">
        <f t="shared" si="19"/>
        <v>60000</v>
      </c>
      <c r="AP25" s="351">
        <f t="shared" si="19"/>
        <v>1245794</v>
      </c>
      <c r="AQ25" s="351">
        <f t="shared" si="19"/>
        <v>36258</v>
      </c>
      <c r="AR25" s="351">
        <f t="shared" si="19"/>
        <v>0</v>
      </c>
      <c r="AS25" s="204">
        <f t="shared" si="19"/>
        <v>6</v>
      </c>
    </row>
    <row r="26" spans="1:45" ht="12.95" customHeight="1" x14ac:dyDescent="0.25">
      <c r="A26" s="205">
        <v>5</v>
      </c>
      <c r="B26" s="143">
        <v>5467</v>
      </c>
      <c r="C26" s="143">
        <v>600098648</v>
      </c>
      <c r="D26" s="143">
        <v>72743948</v>
      </c>
      <c r="E26" s="295" t="s">
        <v>443</v>
      </c>
      <c r="F26" s="143">
        <v>3111</v>
      </c>
      <c r="G26" s="296" t="s">
        <v>290</v>
      </c>
      <c r="H26" s="210" t="s">
        <v>262</v>
      </c>
      <c r="I26" s="580">
        <v>4680552</v>
      </c>
      <c r="J26" s="490">
        <v>3472220</v>
      </c>
      <c r="K26" s="490">
        <v>0</v>
      </c>
      <c r="L26" s="55">
        <v>1173610</v>
      </c>
      <c r="M26" s="55">
        <v>34722</v>
      </c>
      <c r="N26" s="490">
        <v>0</v>
      </c>
      <c r="O26" s="719">
        <v>6</v>
      </c>
      <c r="P26" s="552">
        <f>W26*-1</f>
        <v>0</v>
      </c>
      <c r="Q26" s="573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>P26+Q26+R26+S26+T26+U26</f>
        <v>0</v>
      </c>
      <c r="W26" s="325">
        <v>0</v>
      </c>
      <c r="X26" s="325">
        <v>0</v>
      </c>
      <c r="Y26" s="325">
        <v>0</v>
      </c>
      <c r="Z26" s="492">
        <f>W26+X26+Y26</f>
        <v>0</v>
      </c>
      <c r="AA26" s="492">
        <f>V26+Z26</f>
        <v>0</v>
      </c>
      <c r="AB26" s="494">
        <f>ROUND((V26+Z26)*33.8%,0)</f>
        <v>0</v>
      </c>
      <c r="AC26" s="494">
        <f>ROUND(V26*1%,0)</f>
        <v>0</v>
      </c>
      <c r="AD26" s="492">
        <v>0</v>
      </c>
      <c r="AE26" s="753">
        <f t="shared" ref="AE26:AE27" si="20">AA26+AB26+AC26+AD26</f>
        <v>0</v>
      </c>
      <c r="AF26" s="813">
        <v>0</v>
      </c>
      <c r="AG26" s="729">
        <v>0</v>
      </c>
      <c r="AH26" s="728">
        <v>0</v>
      </c>
      <c r="AI26" s="728">
        <v>0</v>
      </c>
      <c r="AJ26" s="326">
        <v>0</v>
      </c>
      <c r="AK26" s="326">
        <v>0</v>
      </c>
      <c r="AL26" s="609">
        <f>SUM(AF26:AK26)</f>
        <v>0</v>
      </c>
      <c r="AM26" s="676">
        <f>I26+AE26</f>
        <v>4680552</v>
      </c>
      <c r="AN26" s="492">
        <f>J26+V26</f>
        <v>3472220</v>
      </c>
      <c r="AO26" s="573">
        <f>K26+Z26</f>
        <v>0</v>
      </c>
      <c r="AP26" s="492">
        <f t="shared" ref="AP26:AR27" si="21">L26+AB26</f>
        <v>1173610</v>
      </c>
      <c r="AQ26" s="492">
        <f t="shared" si="21"/>
        <v>34722</v>
      </c>
      <c r="AR26" s="492">
        <f t="shared" si="21"/>
        <v>0</v>
      </c>
      <c r="AS26" s="609">
        <f>O26+AL26</f>
        <v>6</v>
      </c>
    </row>
    <row r="27" spans="1:45" ht="12.95" customHeight="1" x14ac:dyDescent="0.25">
      <c r="A27" s="205">
        <v>5</v>
      </c>
      <c r="B27" s="143">
        <v>5467</v>
      </c>
      <c r="C27" s="143">
        <v>600098648</v>
      </c>
      <c r="D27" s="143">
        <v>72743948</v>
      </c>
      <c r="E27" s="294" t="s">
        <v>443</v>
      </c>
      <c r="F27" s="143">
        <v>3111</v>
      </c>
      <c r="G27" s="248" t="s">
        <v>278</v>
      </c>
      <c r="H27" s="210" t="s">
        <v>263</v>
      </c>
      <c r="I27" s="580">
        <v>0</v>
      </c>
      <c r="J27" s="490">
        <v>0</v>
      </c>
      <c r="K27" s="490">
        <v>0</v>
      </c>
      <c r="L27" s="55">
        <v>0</v>
      </c>
      <c r="M27" s="55">
        <v>0</v>
      </c>
      <c r="N27" s="490">
        <v>0</v>
      </c>
      <c r="O27" s="719">
        <v>0</v>
      </c>
      <c r="P27" s="327">
        <f>W27*-1</f>
        <v>0</v>
      </c>
      <c r="Q27" s="573">
        <v>0</v>
      </c>
      <c r="R27" s="325">
        <v>0</v>
      </c>
      <c r="S27" s="325">
        <v>0</v>
      </c>
      <c r="T27" s="325">
        <v>0</v>
      </c>
      <c r="U27" s="325">
        <v>0</v>
      </c>
      <c r="V27" s="492">
        <f>P27+Q27+R27+S27+T27+U27</f>
        <v>0</v>
      </c>
      <c r="W27" s="325">
        <v>0</v>
      </c>
      <c r="X27" s="325">
        <v>0</v>
      </c>
      <c r="Y27" s="325">
        <v>0</v>
      </c>
      <c r="Z27" s="492">
        <f>W27+X27+Y27</f>
        <v>0</v>
      </c>
      <c r="AA27" s="492">
        <f>V27+Z27</f>
        <v>0</v>
      </c>
      <c r="AB27" s="494">
        <f>ROUND((V27+Z27)*33.8%,0)</f>
        <v>0</v>
      </c>
      <c r="AC27" s="494">
        <f>ROUND(V27*1%,0)</f>
        <v>0</v>
      </c>
      <c r="AD27" s="492">
        <v>0</v>
      </c>
      <c r="AE27" s="753">
        <f t="shared" si="20"/>
        <v>0</v>
      </c>
      <c r="AF27" s="813">
        <v>0</v>
      </c>
      <c r="AG27" s="729">
        <v>0</v>
      </c>
      <c r="AH27" s="728">
        <v>0</v>
      </c>
      <c r="AI27" s="728">
        <v>0</v>
      </c>
      <c r="AJ27" s="326">
        <v>0</v>
      </c>
      <c r="AK27" s="326">
        <v>0</v>
      </c>
      <c r="AL27" s="609">
        <f>SUM(AF27:AK27)</f>
        <v>0</v>
      </c>
      <c r="AM27" s="676">
        <f>I27+AE27</f>
        <v>0</v>
      </c>
      <c r="AN27" s="492">
        <f>J27+V27</f>
        <v>0</v>
      </c>
      <c r="AO27" s="573">
        <f>K27+Z27</f>
        <v>0</v>
      </c>
      <c r="AP27" s="492">
        <f t="shared" si="21"/>
        <v>0</v>
      </c>
      <c r="AQ27" s="492">
        <f t="shared" si="21"/>
        <v>0</v>
      </c>
      <c r="AR27" s="492">
        <f t="shared" si="21"/>
        <v>0</v>
      </c>
      <c r="AS27" s="609">
        <f>O27+AL27</f>
        <v>0</v>
      </c>
    </row>
    <row r="28" spans="1:45" ht="12.95" customHeight="1" x14ac:dyDescent="0.25">
      <c r="A28" s="144">
        <v>5</v>
      </c>
      <c r="B28" s="42">
        <v>5467</v>
      </c>
      <c r="C28" s="42">
        <v>600098648</v>
      </c>
      <c r="D28" s="42">
        <v>72743948</v>
      </c>
      <c r="E28" s="306" t="s">
        <v>444</v>
      </c>
      <c r="F28" s="307"/>
      <c r="G28" s="306"/>
      <c r="H28" s="308"/>
      <c r="I28" s="650">
        <v>4680552</v>
      </c>
      <c r="J28" s="568">
        <v>3472220</v>
      </c>
      <c r="K28" s="568">
        <v>0</v>
      </c>
      <c r="L28" s="368">
        <v>1173610</v>
      </c>
      <c r="M28" s="368">
        <v>34722</v>
      </c>
      <c r="N28" s="568">
        <v>0</v>
      </c>
      <c r="O28" s="734">
        <v>6</v>
      </c>
      <c r="P28" s="655">
        <f t="shared" ref="P28:AS28" si="22">SUM(P26:P27)</f>
        <v>0</v>
      </c>
      <c r="Q28" s="467">
        <f t="shared" si="22"/>
        <v>0</v>
      </c>
      <c r="R28" s="368">
        <f t="shared" si="22"/>
        <v>0</v>
      </c>
      <c r="S28" s="368">
        <f t="shared" si="22"/>
        <v>0</v>
      </c>
      <c r="T28" s="368">
        <f t="shared" si="22"/>
        <v>0</v>
      </c>
      <c r="U28" s="368">
        <f t="shared" si="22"/>
        <v>0</v>
      </c>
      <c r="V28" s="368">
        <f t="shared" si="22"/>
        <v>0</v>
      </c>
      <c r="W28" s="368">
        <f t="shared" si="22"/>
        <v>0</v>
      </c>
      <c r="X28" s="368">
        <f t="shared" si="22"/>
        <v>0</v>
      </c>
      <c r="Y28" s="368">
        <f t="shared" si="22"/>
        <v>0</v>
      </c>
      <c r="Z28" s="368">
        <f t="shared" si="22"/>
        <v>0</v>
      </c>
      <c r="AA28" s="368">
        <f t="shared" si="22"/>
        <v>0</v>
      </c>
      <c r="AB28" s="368">
        <f t="shared" si="22"/>
        <v>0</v>
      </c>
      <c r="AC28" s="368">
        <f t="shared" si="22"/>
        <v>0</v>
      </c>
      <c r="AD28" s="368">
        <f t="shared" si="22"/>
        <v>0</v>
      </c>
      <c r="AE28" s="809">
        <f t="shared" si="22"/>
        <v>0</v>
      </c>
      <c r="AF28" s="816">
        <f t="shared" si="22"/>
        <v>0</v>
      </c>
      <c r="AG28" s="735">
        <f t="shared" si="22"/>
        <v>0</v>
      </c>
      <c r="AH28" s="735">
        <f t="shared" si="22"/>
        <v>0</v>
      </c>
      <c r="AI28" s="735">
        <f t="shared" si="22"/>
        <v>0</v>
      </c>
      <c r="AJ28" s="369">
        <f t="shared" si="22"/>
        <v>0</v>
      </c>
      <c r="AK28" s="369">
        <f t="shared" si="22"/>
        <v>0</v>
      </c>
      <c r="AL28" s="302">
        <f t="shared" si="22"/>
        <v>0</v>
      </c>
      <c r="AM28" s="655">
        <f t="shared" si="22"/>
        <v>4680552</v>
      </c>
      <c r="AN28" s="467">
        <f t="shared" si="22"/>
        <v>3472220</v>
      </c>
      <c r="AO28" s="368">
        <f t="shared" si="22"/>
        <v>0</v>
      </c>
      <c r="AP28" s="368">
        <f t="shared" si="22"/>
        <v>1173610</v>
      </c>
      <c r="AQ28" s="368">
        <f t="shared" si="22"/>
        <v>34722</v>
      </c>
      <c r="AR28" s="368">
        <f t="shared" si="22"/>
        <v>0</v>
      </c>
      <c r="AS28" s="302">
        <f t="shared" si="22"/>
        <v>6</v>
      </c>
    </row>
    <row r="29" spans="1:45" ht="12.95" customHeight="1" x14ac:dyDescent="0.25">
      <c r="A29" s="205">
        <v>6</v>
      </c>
      <c r="B29" s="143">
        <v>5463</v>
      </c>
      <c r="C29" s="143">
        <v>600098877</v>
      </c>
      <c r="D29" s="143">
        <v>72743786</v>
      </c>
      <c r="E29" s="142" t="s">
        <v>445</v>
      </c>
      <c r="F29" s="143">
        <v>3111</v>
      </c>
      <c r="G29" s="296" t="s">
        <v>290</v>
      </c>
      <c r="H29" s="210" t="s">
        <v>262</v>
      </c>
      <c r="I29" s="580">
        <v>4931701</v>
      </c>
      <c r="J29" s="490">
        <v>3658532</v>
      </c>
      <c r="K29" s="490">
        <v>0</v>
      </c>
      <c r="L29" s="55">
        <v>1236584</v>
      </c>
      <c r="M29" s="55">
        <v>36585</v>
      </c>
      <c r="N29" s="490">
        <v>0</v>
      </c>
      <c r="O29" s="719">
        <v>6.2257999999999996</v>
      </c>
      <c r="P29" s="552">
        <f>W29*-1</f>
        <v>0</v>
      </c>
      <c r="Q29" s="573">
        <v>0</v>
      </c>
      <c r="R29" s="325">
        <v>0</v>
      </c>
      <c r="S29" s="325">
        <v>0</v>
      </c>
      <c r="T29" s="325">
        <v>0</v>
      </c>
      <c r="U29" s="325">
        <v>0</v>
      </c>
      <c r="V29" s="492">
        <f>P29+Q29+R29+S29+T29+U29</f>
        <v>0</v>
      </c>
      <c r="W29" s="325">
        <v>0</v>
      </c>
      <c r="X29" s="325">
        <v>0</v>
      </c>
      <c r="Y29" s="325">
        <v>0</v>
      </c>
      <c r="Z29" s="492">
        <f>W29+X29+Y29</f>
        <v>0</v>
      </c>
      <c r="AA29" s="492">
        <f>V29+Z29</f>
        <v>0</v>
      </c>
      <c r="AB29" s="494">
        <f>ROUND((V29+Z29)*33.8%,0)</f>
        <v>0</v>
      </c>
      <c r="AC29" s="494">
        <f>ROUND(V29*1%,0)</f>
        <v>0</v>
      </c>
      <c r="AD29" s="492">
        <v>0</v>
      </c>
      <c r="AE29" s="753">
        <f t="shared" ref="AE29:AE30" si="23">AA29+AB29+AC29+AD29</f>
        <v>0</v>
      </c>
      <c r="AF29" s="813">
        <v>0</v>
      </c>
      <c r="AG29" s="729">
        <v>0</v>
      </c>
      <c r="AH29" s="728">
        <v>0</v>
      </c>
      <c r="AI29" s="728">
        <v>0</v>
      </c>
      <c r="AJ29" s="326">
        <v>0</v>
      </c>
      <c r="AK29" s="326">
        <v>0</v>
      </c>
      <c r="AL29" s="609">
        <f>SUM(AF29:AK29)</f>
        <v>0</v>
      </c>
      <c r="AM29" s="676">
        <f>I29+AE29</f>
        <v>4931701</v>
      </c>
      <c r="AN29" s="492">
        <f>J29+V29</f>
        <v>3658532</v>
      </c>
      <c r="AO29" s="573">
        <f>K29+Z29</f>
        <v>0</v>
      </c>
      <c r="AP29" s="492">
        <f t="shared" ref="AP29:AR30" si="24">L29+AB29</f>
        <v>1236584</v>
      </c>
      <c r="AQ29" s="492">
        <f t="shared" si="24"/>
        <v>36585</v>
      </c>
      <c r="AR29" s="492">
        <f t="shared" si="24"/>
        <v>0</v>
      </c>
      <c r="AS29" s="609">
        <f>O29+AL29</f>
        <v>6.2257999999999996</v>
      </c>
    </row>
    <row r="30" spans="1:45" ht="12.95" customHeight="1" x14ac:dyDescent="0.25">
      <c r="A30" s="205">
        <v>6</v>
      </c>
      <c r="B30" s="143">
        <v>5463</v>
      </c>
      <c r="C30" s="143">
        <v>600098877</v>
      </c>
      <c r="D30" s="143">
        <v>72743786</v>
      </c>
      <c r="E30" s="295" t="s">
        <v>445</v>
      </c>
      <c r="F30" s="143">
        <v>3111</v>
      </c>
      <c r="G30" s="248" t="s">
        <v>278</v>
      </c>
      <c r="H30" s="210" t="s">
        <v>263</v>
      </c>
      <c r="I30" s="580">
        <v>436922</v>
      </c>
      <c r="J30" s="490">
        <v>324126</v>
      </c>
      <c r="K30" s="490">
        <v>0</v>
      </c>
      <c r="L30" s="55">
        <v>109555</v>
      </c>
      <c r="M30" s="55">
        <v>3241</v>
      </c>
      <c r="N30" s="490">
        <v>0</v>
      </c>
      <c r="O30" s="719">
        <v>0.8</v>
      </c>
      <c r="P30" s="327">
        <f>W30*-1</f>
        <v>0</v>
      </c>
      <c r="Q30" s="573">
        <v>0</v>
      </c>
      <c r="R30" s="325">
        <v>0</v>
      </c>
      <c r="S30" s="325">
        <v>0</v>
      </c>
      <c r="T30" s="325">
        <v>0</v>
      </c>
      <c r="U30" s="325">
        <v>0</v>
      </c>
      <c r="V30" s="492">
        <f>P30+Q30+R30+S30+T30+U30</f>
        <v>0</v>
      </c>
      <c r="W30" s="325">
        <v>0</v>
      </c>
      <c r="X30" s="325">
        <v>0</v>
      </c>
      <c r="Y30" s="325">
        <v>0</v>
      </c>
      <c r="Z30" s="492">
        <f>W30+X30+Y30</f>
        <v>0</v>
      </c>
      <c r="AA30" s="492">
        <f>V30+Z30</f>
        <v>0</v>
      </c>
      <c r="AB30" s="494">
        <f>ROUND((V30+Z30)*33.8%,0)</f>
        <v>0</v>
      </c>
      <c r="AC30" s="494">
        <f>ROUND(V30*1%,0)</f>
        <v>0</v>
      </c>
      <c r="AD30" s="492">
        <v>0</v>
      </c>
      <c r="AE30" s="753">
        <f t="shared" si="23"/>
        <v>0</v>
      </c>
      <c r="AF30" s="813">
        <v>0</v>
      </c>
      <c r="AG30" s="729">
        <v>0</v>
      </c>
      <c r="AH30" s="728">
        <v>0</v>
      </c>
      <c r="AI30" s="728">
        <v>0</v>
      </c>
      <c r="AJ30" s="326">
        <v>0</v>
      </c>
      <c r="AK30" s="326">
        <v>0</v>
      </c>
      <c r="AL30" s="609">
        <f>SUM(AF30:AK30)</f>
        <v>0</v>
      </c>
      <c r="AM30" s="676">
        <f>I30+AE30</f>
        <v>436922</v>
      </c>
      <c r="AN30" s="492">
        <f>J30+V30</f>
        <v>324126</v>
      </c>
      <c r="AO30" s="573">
        <f>K30+Z30</f>
        <v>0</v>
      </c>
      <c r="AP30" s="492">
        <f t="shared" si="24"/>
        <v>109555</v>
      </c>
      <c r="AQ30" s="492">
        <f t="shared" si="24"/>
        <v>3241</v>
      </c>
      <c r="AR30" s="492">
        <f t="shared" si="24"/>
        <v>0</v>
      </c>
      <c r="AS30" s="609">
        <f>O30+AL30</f>
        <v>0.8</v>
      </c>
    </row>
    <row r="31" spans="1:45" ht="12.95" customHeight="1" x14ac:dyDescent="0.25">
      <c r="A31" s="144">
        <v>6</v>
      </c>
      <c r="B31" s="41">
        <v>5463</v>
      </c>
      <c r="C31" s="41">
        <v>600098877</v>
      </c>
      <c r="D31" s="41">
        <v>72743786</v>
      </c>
      <c r="E31" s="297" t="s">
        <v>446</v>
      </c>
      <c r="F31" s="41"/>
      <c r="G31" s="297"/>
      <c r="H31" s="128"/>
      <c r="I31" s="648">
        <v>5368623</v>
      </c>
      <c r="J31" s="566">
        <v>3982658</v>
      </c>
      <c r="K31" s="566">
        <v>0</v>
      </c>
      <c r="L31" s="366">
        <v>1346139</v>
      </c>
      <c r="M31" s="366">
        <v>39826</v>
      </c>
      <c r="N31" s="566">
        <v>0</v>
      </c>
      <c r="O31" s="730">
        <v>7.0257999999999994</v>
      </c>
      <c r="P31" s="653">
        <f t="shared" ref="P31:AS31" si="25">SUM(P29:P30)</f>
        <v>0</v>
      </c>
      <c r="Q31" s="465">
        <f t="shared" si="25"/>
        <v>0</v>
      </c>
      <c r="R31" s="366">
        <f t="shared" si="25"/>
        <v>0</v>
      </c>
      <c r="S31" s="366">
        <f t="shared" si="25"/>
        <v>0</v>
      </c>
      <c r="T31" s="366">
        <f t="shared" si="25"/>
        <v>0</v>
      </c>
      <c r="U31" s="366">
        <f t="shared" si="25"/>
        <v>0</v>
      </c>
      <c r="V31" s="366">
        <f t="shared" si="25"/>
        <v>0</v>
      </c>
      <c r="W31" s="366">
        <f t="shared" si="25"/>
        <v>0</v>
      </c>
      <c r="X31" s="366">
        <f t="shared" si="25"/>
        <v>0</v>
      </c>
      <c r="Y31" s="366">
        <f t="shared" si="25"/>
        <v>0</v>
      </c>
      <c r="Z31" s="366">
        <f t="shared" si="25"/>
        <v>0</v>
      </c>
      <c r="AA31" s="366">
        <f t="shared" si="25"/>
        <v>0</v>
      </c>
      <c r="AB31" s="366">
        <f t="shared" si="25"/>
        <v>0</v>
      </c>
      <c r="AC31" s="366">
        <f t="shared" si="25"/>
        <v>0</v>
      </c>
      <c r="AD31" s="366">
        <f t="shared" si="25"/>
        <v>0</v>
      </c>
      <c r="AE31" s="807">
        <f t="shared" si="25"/>
        <v>0</v>
      </c>
      <c r="AF31" s="814">
        <f t="shared" si="25"/>
        <v>0</v>
      </c>
      <c r="AG31" s="731">
        <f t="shared" si="25"/>
        <v>0</v>
      </c>
      <c r="AH31" s="731">
        <f t="shared" si="25"/>
        <v>0</v>
      </c>
      <c r="AI31" s="731">
        <f t="shared" si="25"/>
        <v>0</v>
      </c>
      <c r="AJ31" s="367">
        <f t="shared" si="25"/>
        <v>0</v>
      </c>
      <c r="AK31" s="367">
        <f t="shared" si="25"/>
        <v>0</v>
      </c>
      <c r="AL31" s="298">
        <f t="shared" si="25"/>
        <v>0</v>
      </c>
      <c r="AM31" s="653">
        <f t="shared" si="25"/>
        <v>5368623</v>
      </c>
      <c r="AN31" s="465">
        <f t="shared" si="25"/>
        <v>3982658</v>
      </c>
      <c r="AO31" s="366">
        <f t="shared" si="25"/>
        <v>0</v>
      </c>
      <c r="AP31" s="366">
        <f t="shared" si="25"/>
        <v>1346139</v>
      </c>
      <c r="AQ31" s="366">
        <f t="shared" si="25"/>
        <v>39826</v>
      </c>
      <c r="AR31" s="366">
        <f t="shared" si="25"/>
        <v>0</v>
      </c>
      <c r="AS31" s="298">
        <f t="shared" si="25"/>
        <v>7.0257999999999994</v>
      </c>
    </row>
    <row r="32" spans="1:45" ht="12.95" customHeight="1" x14ac:dyDescent="0.25">
      <c r="A32" s="205">
        <v>7</v>
      </c>
      <c r="B32" s="143">
        <v>5461</v>
      </c>
      <c r="C32" s="143">
        <v>600098915</v>
      </c>
      <c r="D32" s="143">
        <v>72743701</v>
      </c>
      <c r="E32" s="142" t="s">
        <v>447</v>
      </c>
      <c r="F32" s="143">
        <v>3111</v>
      </c>
      <c r="G32" s="296" t="s">
        <v>290</v>
      </c>
      <c r="H32" s="210" t="s">
        <v>262</v>
      </c>
      <c r="I32" s="580">
        <v>3304817</v>
      </c>
      <c r="J32" s="490">
        <v>2451645</v>
      </c>
      <c r="K32" s="490">
        <v>0</v>
      </c>
      <c r="L32" s="55">
        <v>828656</v>
      </c>
      <c r="M32" s="55">
        <v>24516</v>
      </c>
      <c r="N32" s="490">
        <v>0</v>
      </c>
      <c r="O32" s="719">
        <v>4.0599999999999996</v>
      </c>
      <c r="P32" s="552">
        <f>W32*-1</f>
        <v>0</v>
      </c>
      <c r="Q32" s="573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>P32+Q32+R32+S32+T32+U32</f>
        <v>0</v>
      </c>
      <c r="W32" s="325">
        <v>0</v>
      </c>
      <c r="X32" s="325">
        <v>0</v>
      </c>
      <c r="Y32" s="325">
        <v>0</v>
      </c>
      <c r="Z32" s="492">
        <f>W32+X32+Y32</f>
        <v>0</v>
      </c>
      <c r="AA32" s="492">
        <f>V32+Z32</f>
        <v>0</v>
      </c>
      <c r="AB32" s="494">
        <f>ROUND((V32+Z32)*33.8%,0)</f>
        <v>0</v>
      </c>
      <c r="AC32" s="494">
        <f>ROUND(V32*1%,0)</f>
        <v>0</v>
      </c>
      <c r="AD32" s="492">
        <v>0</v>
      </c>
      <c r="AE32" s="753">
        <f t="shared" ref="AE32" si="26">AA32+AB32+AC32+AD32</f>
        <v>0</v>
      </c>
      <c r="AF32" s="813">
        <v>0</v>
      </c>
      <c r="AG32" s="729">
        <v>0</v>
      </c>
      <c r="AH32" s="728">
        <v>0</v>
      </c>
      <c r="AI32" s="728">
        <v>0</v>
      </c>
      <c r="AJ32" s="326">
        <v>0</v>
      </c>
      <c r="AK32" s="326">
        <v>0</v>
      </c>
      <c r="AL32" s="609">
        <f>SUM(AF32:AK32)</f>
        <v>0</v>
      </c>
      <c r="AM32" s="676">
        <f>I32+AE32</f>
        <v>3304817</v>
      </c>
      <c r="AN32" s="492">
        <f>J32+V32</f>
        <v>2451645</v>
      </c>
      <c r="AO32" s="573">
        <f>K32+Z32</f>
        <v>0</v>
      </c>
      <c r="AP32" s="492">
        <f>L32+AB32</f>
        <v>828656</v>
      </c>
      <c r="AQ32" s="492">
        <f>M32+AC32</f>
        <v>24516</v>
      </c>
      <c r="AR32" s="492">
        <f>N32+AD32</f>
        <v>0</v>
      </c>
      <c r="AS32" s="609">
        <f>O32+AL32</f>
        <v>4.0599999999999996</v>
      </c>
    </row>
    <row r="33" spans="1:45" ht="12.95" customHeight="1" x14ac:dyDescent="0.25">
      <c r="A33" s="144">
        <v>7</v>
      </c>
      <c r="B33" s="43">
        <v>5461</v>
      </c>
      <c r="C33" s="43">
        <v>600098915</v>
      </c>
      <c r="D33" s="43">
        <v>72743701</v>
      </c>
      <c r="E33" s="309" t="s">
        <v>448</v>
      </c>
      <c r="F33" s="43"/>
      <c r="G33" s="309"/>
      <c r="H33" s="130"/>
      <c r="I33" s="649">
        <v>3304817</v>
      </c>
      <c r="J33" s="567">
        <v>2451645</v>
      </c>
      <c r="K33" s="567">
        <v>0</v>
      </c>
      <c r="L33" s="351">
        <v>828656</v>
      </c>
      <c r="M33" s="351">
        <v>24516</v>
      </c>
      <c r="N33" s="567">
        <v>0</v>
      </c>
      <c r="O33" s="732">
        <v>4.0599999999999996</v>
      </c>
      <c r="P33" s="654">
        <f t="shared" ref="P33:AS33" si="27">SUM(P32:P32)</f>
        <v>0</v>
      </c>
      <c r="Q33" s="466">
        <f t="shared" si="27"/>
        <v>0</v>
      </c>
      <c r="R33" s="351">
        <f t="shared" si="27"/>
        <v>0</v>
      </c>
      <c r="S33" s="351">
        <f t="shared" si="27"/>
        <v>0</v>
      </c>
      <c r="T33" s="351">
        <f t="shared" si="27"/>
        <v>0</v>
      </c>
      <c r="U33" s="351">
        <f t="shared" si="27"/>
        <v>0</v>
      </c>
      <c r="V33" s="351">
        <f t="shared" si="27"/>
        <v>0</v>
      </c>
      <c r="W33" s="351">
        <f t="shared" si="27"/>
        <v>0</v>
      </c>
      <c r="X33" s="351">
        <f t="shared" si="27"/>
        <v>0</v>
      </c>
      <c r="Y33" s="351">
        <f t="shared" si="27"/>
        <v>0</v>
      </c>
      <c r="Z33" s="351">
        <f t="shared" si="27"/>
        <v>0</v>
      </c>
      <c r="AA33" s="351">
        <f t="shared" si="27"/>
        <v>0</v>
      </c>
      <c r="AB33" s="351">
        <f t="shared" si="27"/>
        <v>0</v>
      </c>
      <c r="AC33" s="351">
        <f t="shared" si="27"/>
        <v>0</v>
      </c>
      <c r="AD33" s="351">
        <f t="shared" si="27"/>
        <v>0</v>
      </c>
      <c r="AE33" s="808">
        <f t="shared" si="27"/>
        <v>0</v>
      </c>
      <c r="AF33" s="815">
        <f t="shared" si="27"/>
        <v>0</v>
      </c>
      <c r="AG33" s="733">
        <f t="shared" si="27"/>
        <v>0</v>
      </c>
      <c r="AH33" s="733">
        <f t="shared" si="27"/>
        <v>0</v>
      </c>
      <c r="AI33" s="733">
        <f t="shared" si="27"/>
        <v>0</v>
      </c>
      <c r="AJ33" s="352">
        <f t="shared" si="27"/>
        <v>0</v>
      </c>
      <c r="AK33" s="352">
        <f t="shared" si="27"/>
        <v>0</v>
      </c>
      <c r="AL33" s="204">
        <f t="shared" si="27"/>
        <v>0</v>
      </c>
      <c r="AM33" s="654">
        <f t="shared" si="27"/>
        <v>3304817</v>
      </c>
      <c r="AN33" s="466">
        <f t="shared" si="27"/>
        <v>2451645</v>
      </c>
      <c r="AO33" s="351">
        <f t="shared" si="27"/>
        <v>0</v>
      </c>
      <c r="AP33" s="351">
        <f t="shared" si="27"/>
        <v>828656</v>
      </c>
      <c r="AQ33" s="351">
        <f t="shared" si="27"/>
        <v>24516</v>
      </c>
      <c r="AR33" s="351">
        <f t="shared" si="27"/>
        <v>0</v>
      </c>
      <c r="AS33" s="204">
        <f t="shared" si="27"/>
        <v>4.0599999999999996</v>
      </c>
    </row>
    <row r="34" spans="1:45" ht="12.95" customHeight="1" x14ac:dyDescent="0.25">
      <c r="A34" s="205">
        <v>8</v>
      </c>
      <c r="B34" s="293">
        <v>5466</v>
      </c>
      <c r="C34" s="293">
        <v>600098885</v>
      </c>
      <c r="D34" s="293">
        <v>72743794</v>
      </c>
      <c r="E34" s="294" t="s">
        <v>449</v>
      </c>
      <c r="F34" s="293">
        <v>3111</v>
      </c>
      <c r="G34" s="296" t="s">
        <v>290</v>
      </c>
      <c r="H34" s="210" t="s">
        <v>262</v>
      </c>
      <c r="I34" s="580">
        <v>8452224</v>
      </c>
      <c r="J34" s="490">
        <v>6270196</v>
      </c>
      <c r="K34" s="490">
        <v>0</v>
      </c>
      <c r="L34" s="55">
        <v>2119326</v>
      </c>
      <c r="M34" s="55">
        <v>62702</v>
      </c>
      <c r="N34" s="490">
        <v>0</v>
      </c>
      <c r="O34" s="719">
        <v>10</v>
      </c>
      <c r="P34" s="552">
        <f>W34*-1</f>
        <v>0</v>
      </c>
      <c r="Q34" s="573">
        <v>0</v>
      </c>
      <c r="R34" s="325">
        <v>0</v>
      </c>
      <c r="S34" s="325">
        <v>0</v>
      </c>
      <c r="T34" s="325">
        <v>0</v>
      </c>
      <c r="U34" s="325">
        <v>0</v>
      </c>
      <c r="V34" s="492">
        <f>P34+Q34+R34+S34+T34+U34</f>
        <v>0</v>
      </c>
      <c r="W34" s="325">
        <v>0</v>
      </c>
      <c r="X34" s="325">
        <v>0</v>
      </c>
      <c r="Y34" s="325">
        <v>0</v>
      </c>
      <c r="Z34" s="492">
        <f>W34+X34+Y34</f>
        <v>0</v>
      </c>
      <c r="AA34" s="492">
        <f>V34+Z34</f>
        <v>0</v>
      </c>
      <c r="AB34" s="494">
        <f>ROUND((V34+Z34)*33.8%,0)</f>
        <v>0</v>
      </c>
      <c r="AC34" s="494">
        <f>ROUND(V34*1%,0)</f>
        <v>0</v>
      </c>
      <c r="AD34" s="492">
        <v>0</v>
      </c>
      <c r="AE34" s="753">
        <f t="shared" ref="AE34:AE35" si="28">AA34+AB34+AC34+AD34</f>
        <v>0</v>
      </c>
      <c r="AF34" s="813">
        <v>0</v>
      </c>
      <c r="AG34" s="729">
        <v>0</v>
      </c>
      <c r="AH34" s="728">
        <v>0</v>
      </c>
      <c r="AI34" s="728">
        <v>0</v>
      </c>
      <c r="AJ34" s="326">
        <v>0</v>
      </c>
      <c r="AK34" s="326">
        <v>0</v>
      </c>
      <c r="AL34" s="609">
        <f>SUM(AF34:AK34)</f>
        <v>0</v>
      </c>
      <c r="AM34" s="676">
        <f>I34+AE34</f>
        <v>8452224</v>
      </c>
      <c r="AN34" s="492">
        <f>J34+V34</f>
        <v>6270196</v>
      </c>
      <c r="AO34" s="573">
        <f>K34+Z34</f>
        <v>0</v>
      </c>
      <c r="AP34" s="492">
        <f t="shared" ref="AP34:AR35" si="29">L34+AB34</f>
        <v>2119326</v>
      </c>
      <c r="AQ34" s="492">
        <f t="shared" si="29"/>
        <v>62702</v>
      </c>
      <c r="AR34" s="492">
        <f t="shared" si="29"/>
        <v>0</v>
      </c>
      <c r="AS34" s="609">
        <f>O34+AL34</f>
        <v>10</v>
      </c>
    </row>
    <row r="35" spans="1:45" ht="12.95" customHeight="1" x14ac:dyDescent="0.25">
      <c r="A35" s="205">
        <v>8</v>
      </c>
      <c r="B35" s="293">
        <v>5466</v>
      </c>
      <c r="C35" s="293">
        <v>600098885</v>
      </c>
      <c r="D35" s="293">
        <v>72743794</v>
      </c>
      <c r="E35" s="294" t="s">
        <v>449</v>
      </c>
      <c r="F35" s="293">
        <v>3111</v>
      </c>
      <c r="G35" s="256" t="s">
        <v>279</v>
      </c>
      <c r="H35" s="210" t="s">
        <v>262</v>
      </c>
      <c r="I35" s="580">
        <v>290351</v>
      </c>
      <c r="J35" s="490">
        <v>215394</v>
      </c>
      <c r="K35" s="490">
        <v>0</v>
      </c>
      <c r="L35" s="55">
        <v>72803</v>
      </c>
      <c r="M35" s="55">
        <v>2154</v>
      </c>
      <c r="N35" s="490">
        <v>0</v>
      </c>
      <c r="O35" s="719">
        <v>0.5</v>
      </c>
      <c r="P35" s="327">
        <f>W35*-1</f>
        <v>0</v>
      </c>
      <c r="Q35" s="573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>P35+Q35+R35+S35+T35+U35</f>
        <v>0</v>
      </c>
      <c r="W35" s="325">
        <v>0</v>
      </c>
      <c r="X35" s="325">
        <v>0</v>
      </c>
      <c r="Y35" s="325">
        <v>0</v>
      </c>
      <c r="Z35" s="492">
        <f>W35+X35+Y35</f>
        <v>0</v>
      </c>
      <c r="AA35" s="492">
        <f>V35+Z35</f>
        <v>0</v>
      </c>
      <c r="AB35" s="494">
        <f>ROUND((V35+Z35)*33.8%,0)</f>
        <v>0</v>
      </c>
      <c r="AC35" s="494">
        <f>ROUND(V35*1%,0)</f>
        <v>0</v>
      </c>
      <c r="AD35" s="492">
        <v>0</v>
      </c>
      <c r="AE35" s="753">
        <f t="shared" si="28"/>
        <v>0</v>
      </c>
      <c r="AF35" s="813">
        <v>0</v>
      </c>
      <c r="AG35" s="729">
        <v>0</v>
      </c>
      <c r="AH35" s="728">
        <v>0</v>
      </c>
      <c r="AI35" s="728">
        <v>0</v>
      </c>
      <c r="AJ35" s="326">
        <v>0</v>
      </c>
      <c r="AK35" s="326">
        <v>0</v>
      </c>
      <c r="AL35" s="609">
        <f>SUM(AF35:AK35)</f>
        <v>0</v>
      </c>
      <c r="AM35" s="676">
        <f>I35+AE35</f>
        <v>290351</v>
      </c>
      <c r="AN35" s="492">
        <f>J35+V35</f>
        <v>215394</v>
      </c>
      <c r="AO35" s="573">
        <f>K35+Z35</f>
        <v>0</v>
      </c>
      <c r="AP35" s="492">
        <f t="shared" si="29"/>
        <v>72803</v>
      </c>
      <c r="AQ35" s="492">
        <f t="shared" si="29"/>
        <v>2154</v>
      </c>
      <c r="AR35" s="492">
        <f t="shared" si="29"/>
        <v>0</v>
      </c>
      <c r="AS35" s="609">
        <f>O35+AL35</f>
        <v>0.5</v>
      </c>
    </row>
    <row r="36" spans="1:45" ht="12.95" customHeight="1" x14ac:dyDescent="0.25">
      <c r="A36" s="144">
        <v>8</v>
      </c>
      <c r="B36" s="41">
        <v>5466</v>
      </c>
      <c r="C36" s="41">
        <v>600098885</v>
      </c>
      <c r="D36" s="41">
        <v>72743794</v>
      </c>
      <c r="E36" s="297" t="s">
        <v>450</v>
      </c>
      <c r="F36" s="41"/>
      <c r="G36" s="297"/>
      <c r="H36" s="128"/>
      <c r="I36" s="649">
        <v>8742575</v>
      </c>
      <c r="J36" s="567">
        <v>6485590</v>
      </c>
      <c r="K36" s="567">
        <v>0</v>
      </c>
      <c r="L36" s="351">
        <v>2192129</v>
      </c>
      <c r="M36" s="351">
        <v>64856</v>
      </c>
      <c r="N36" s="567">
        <v>0</v>
      </c>
      <c r="O36" s="732">
        <v>10.5</v>
      </c>
      <c r="P36" s="654">
        <f t="shared" ref="P36:AS36" si="30">SUM(P34:P35)</f>
        <v>0</v>
      </c>
      <c r="Q36" s="466">
        <f t="shared" si="30"/>
        <v>0</v>
      </c>
      <c r="R36" s="351">
        <f t="shared" si="30"/>
        <v>0</v>
      </c>
      <c r="S36" s="351">
        <f t="shared" si="30"/>
        <v>0</v>
      </c>
      <c r="T36" s="351">
        <f t="shared" si="30"/>
        <v>0</v>
      </c>
      <c r="U36" s="351">
        <f t="shared" si="30"/>
        <v>0</v>
      </c>
      <c r="V36" s="351">
        <f t="shared" si="30"/>
        <v>0</v>
      </c>
      <c r="W36" s="351">
        <f t="shared" si="30"/>
        <v>0</v>
      </c>
      <c r="X36" s="351">
        <f t="shared" si="30"/>
        <v>0</v>
      </c>
      <c r="Y36" s="351">
        <f t="shared" si="30"/>
        <v>0</v>
      </c>
      <c r="Z36" s="351">
        <f t="shared" si="30"/>
        <v>0</v>
      </c>
      <c r="AA36" s="351">
        <f t="shared" si="30"/>
        <v>0</v>
      </c>
      <c r="AB36" s="351">
        <f t="shared" si="30"/>
        <v>0</v>
      </c>
      <c r="AC36" s="351">
        <f t="shared" si="30"/>
        <v>0</v>
      </c>
      <c r="AD36" s="351">
        <f t="shared" si="30"/>
        <v>0</v>
      </c>
      <c r="AE36" s="808">
        <f t="shared" si="30"/>
        <v>0</v>
      </c>
      <c r="AF36" s="815">
        <f t="shared" si="30"/>
        <v>0</v>
      </c>
      <c r="AG36" s="733">
        <f t="shared" si="30"/>
        <v>0</v>
      </c>
      <c r="AH36" s="733">
        <f t="shared" si="30"/>
        <v>0</v>
      </c>
      <c r="AI36" s="733">
        <f t="shared" si="30"/>
        <v>0</v>
      </c>
      <c r="AJ36" s="352">
        <f t="shared" si="30"/>
        <v>0</v>
      </c>
      <c r="AK36" s="352">
        <f t="shared" si="30"/>
        <v>0</v>
      </c>
      <c r="AL36" s="204">
        <f t="shared" si="30"/>
        <v>0</v>
      </c>
      <c r="AM36" s="654">
        <f t="shared" si="30"/>
        <v>8742575</v>
      </c>
      <c r="AN36" s="466">
        <f t="shared" si="30"/>
        <v>6485590</v>
      </c>
      <c r="AO36" s="351">
        <f t="shared" si="30"/>
        <v>0</v>
      </c>
      <c r="AP36" s="351">
        <f t="shared" si="30"/>
        <v>2192129</v>
      </c>
      <c r="AQ36" s="351">
        <f t="shared" si="30"/>
        <v>64856</v>
      </c>
      <c r="AR36" s="351">
        <f t="shared" si="30"/>
        <v>0</v>
      </c>
      <c r="AS36" s="204">
        <f t="shared" si="30"/>
        <v>10.5</v>
      </c>
    </row>
    <row r="37" spans="1:45" ht="12.95" customHeight="1" x14ac:dyDescent="0.25">
      <c r="A37" s="205">
        <v>9</v>
      </c>
      <c r="B37" s="143">
        <v>5702</v>
      </c>
      <c r="C37" s="143">
        <v>600099547</v>
      </c>
      <c r="D37" s="143">
        <v>855022</v>
      </c>
      <c r="E37" s="294" t="s">
        <v>451</v>
      </c>
      <c r="F37" s="305">
        <v>3233</v>
      </c>
      <c r="G37" s="294" t="s">
        <v>372</v>
      </c>
      <c r="H37" s="210" t="s">
        <v>263</v>
      </c>
      <c r="I37" s="580">
        <v>3917257</v>
      </c>
      <c r="J37" s="490">
        <v>2861311</v>
      </c>
      <c r="K37" s="490">
        <v>45000</v>
      </c>
      <c r="L37" s="55">
        <v>982333</v>
      </c>
      <c r="M37" s="55">
        <v>28613</v>
      </c>
      <c r="N37" s="490">
        <v>0</v>
      </c>
      <c r="O37" s="719">
        <v>4.84</v>
      </c>
      <c r="P37" s="552">
        <f>W37*-1</f>
        <v>-30000</v>
      </c>
      <c r="Q37" s="573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>P37+Q37+R37+S37+T37+U37</f>
        <v>-30000</v>
      </c>
      <c r="W37" s="325">
        <v>30000</v>
      </c>
      <c r="X37" s="325">
        <v>0</v>
      </c>
      <c r="Y37" s="325">
        <v>0</v>
      </c>
      <c r="Z37" s="492">
        <f>W37+X37+Y37</f>
        <v>30000</v>
      </c>
      <c r="AA37" s="492">
        <f>V37+Z37</f>
        <v>0</v>
      </c>
      <c r="AB37" s="494">
        <f>ROUND((V37+Z37)*33.8%,0)</f>
        <v>0</v>
      </c>
      <c r="AC37" s="494">
        <f>ROUND(V37*1%,0)</f>
        <v>-300</v>
      </c>
      <c r="AD37" s="492">
        <v>0</v>
      </c>
      <c r="AE37" s="753">
        <f t="shared" ref="AE37" si="31">AA37+AB37+AC37+AD37</f>
        <v>-300</v>
      </c>
      <c r="AF37" s="813">
        <v>0.08</v>
      </c>
      <c r="AG37" s="729">
        <v>0</v>
      </c>
      <c r="AH37" s="728">
        <v>0</v>
      </c>
      <c r="AI37" s="728">
        <v>0</v>
      </c>
      <c r="AJ37" s="326">
        <v>0</v>
      </c>
      <c r="AK37" s="326">
        <v>0</v>
      </c>
      <c r="AL37" s="609">
        <f>SUM(AF37:AK37)</f>
        <v>0.08</v>
      </c>
      <c r="AM37" s="676">
        <f>I37+AE37</f>
        <v>3916957</v>
      </c>
      <c r="AN37" s="492">
        <f>J37+V37</f>
        <v>2831311</v>
      </c>
      <c r="AO37" s="573">
        <f>K37+Z37</f>
        <v>75000</v>
      </c>
      <c r="AP37" s="492">
        <f>L37+AB37</f>
        <v>982333</v>
      </c>
      <c r="AQ37" s="492">
        <f>M37+AC37</f>
        <v>28313</v>
      </c>
      <c r="AR37" s="492">
        <f>N37+AD37</f>
        <v>0</v>
      </c>
      <c r="AS37" s="609">
        <f>O37+AL37</f>
        <v>4.92</v>
      </c>
    </row>
    <row r="38" spans="1:45" ht="12.95" customHeight="1" x14ac:dyDescent="0.25">
      <c r="A38" s="144">
        <v>9</v>
      </c>
      <c r="B38" s="41">
        <v>5702</v>
      </c>
      <c r="C38" s="41">
        <v>600099547</v>
      </c>
      <c r="D38" s="41">
        <v>855022</v>
      </c>
      <c r="E38" s="306" t="s">
        <v>452</v>
      </c>
      <c r="F38" s="307"/>
      <c r="G38" s="306"/>
      <c r="H38" s="308"/>
      <c r="I38" s="648">
        <v>3917257</v>
      </c>
      <c r="J38" s="566">
        <v>2861311</v>
      </c>
      <c r="K38" s="566">
        <v>45000</v>
      </c>
      <c r="L38" s="366">
        <v>982333</v>
      </c>
      <c r="M38" s="366">
        <v>28613</v>
      </c>
      <c r="N38" s="566">
        <v>0</v>
      </c>
      <c r="O38" s="730">
        <v>4.84</v>
      </c>
      <c r="P38" s="653">
        <f t="shared" ref="P38:AS38" si="32">SUM(P37)</f>
        <v>-30000</v>
      </c>
      <c r="Q38" s="465">
        <f t="shared" si="32"/>
        <v>0</v>
      </c>
      <c r="R38" s="366">
        <f t="shared" si="32"/>
        <v>0</v>
      </c>
      <c r="S38" s="366">
        <f t="shared" si="32"/>
        <v>0</v>
      </c>
      <c r="T38" s="366">
        <f t="shared" si="32"/>
        <v>0</v>
      </c>
      <c r="U38" s="366">
        <f t="shared" si="32"/>
        <v>0</v>
      </c>
      <c r="V38" s="366">
        <f t="shared" si="32"/>
        <v>-30000</v>
      </c>
      <c r="W38" s="366">
        <f t="shared" si="32"/>
        <v>30000</v>
      </c>
      <c r="X38" s="366">
        <f t="shared" si="32"/>
        <v>0</v>
      </c>
      <c r="Y38" s="366">
        <f t="shared" si="32"/>
        <v>0</v>
      </c>
      <c r="Z38" s="366">
        <f t="shared" si="32"/>
        <v>30000</v>
      </c>
      <c r="AA38" s="366">
        <f t="shared" si="32"/>
        <v>0</v>
      </c>
      <c r="AB38" s="366">
        <f t="shared" si="32"/>
        <v>0</v>
      </c>
      <c r="AC38" s="366">
        <f t="shared" si="32"/>
        <v>-300</v>
      </c>
      <c r="AD38" s="366">
        <f t="shared" si="32"/>
        <v>0</v>
      </c>
      <c r="AE38" s="807">
        <f t="shared" si="32"/>
        <v>-300</v>
      </c>
      <c r="AF38" s="814">
        <f t="shared" si="32"/>
        <v>0.08</v>
      </c>
      <c r="AG38" s="731">
        <f t="shared" si="32"/>
        <v>0</v>
      </c>
      <c r="AH38" s="731">
        <f t="shared" si="32"/>
        <v>0</v>
      </c>
      <c r="AI38" s="731">
        <f t="shared" si="32"/>
        <v>0</v>
      </c>
      <c r="AJ38" s="367">
        <f t="shared" si="32"/>
        <v>0</v>
      </c>
      <c r="AK38" s="367">
        <f t="shared" si="32"/>
        <v>0</v>
      </c>
      <c r="AL38" s="298">
        <f t="shared" si="32"/>
        <v>0.08</v>
      </c>
      <c r="AM38" s="653">
        <f t="shared" si="32"/>
        <v>3916957</v>
      </c>
      <c r="AN38" s="465">
        <f t="shared" si="32"/>
        <v>2831311</v>
      </c>
      <c r="AO38" s="366">
        <f t="shared" si="32"/>
        <v>75000</v>
      </c>
      <c r="AP38" s="366">
        <f t="shared" si="32"/>
        <v>982333</v>
      </c>
      <c r="AQ38" s="366">
        <f t="shared" si="32"/>
        <v>28313</v>
      </c>
      <c r="AR38" s="366">
        <f t="shared" si="32"/>
        <v>0</v>
      </c>
      <c r="AS38" s="298">
        <f t="shared" si="32"/>
        <v>4.92</v>
      </c>
    </row>
    <row r="39" spans="1:45" ht="12.95" customHeight="1" x14ac:dyDescent="0.25">
      <c r="A39" s="205">
        <v>10</v>
      </c>
      <c r="B39" s="143">
        <v>5458</v>
      </c>
      <c r="C39" s="143">
        <v>600099288</v>
      </c>
      <c r="D39" s="143">
        <v>856126</v>
      </c>
      <c r="E39" s="295" t="s">
        <v>453</v>
      </c>
      <c r="F39" s="143">
        <v>3113</v>
      </c>
      <c r="G39" s="295" t="s">
        <v>294</v>
      </c>
      <c r="H39" s="210" t="s">
        <v>262</v>
      </c>
      <c r="I39" s="580">
        <v>41005361</v>
      </c>
      <c r="J39" s="490">
        <v>30341987</v>
      </c>
      <c r="K39" s="490">
        <v>78000</v>
      </c>
      <c r="L39" s="55">
        <v>10281954</v>
      </c>
      <c r="M39" s="55">
        <v>303420</v>
      </c>
      <c r="N39" s="490">
        <v>0</v>
      </c>
      <c r="O39" s="719">
        <v>39.206100000000006</v>
      </c>
      <c r="P39" s="552">
        <f>W39*-1</f>
        <v>-52000</v>
      </c>
      <c r="Q39" s="573">
        <v>0</v>
      </c>
      <c r="R39" s="325">
        <v>0</v>
      </c>
      <c r="S39" s="325">
        <v>0</v>
      </c>
      <c r="T39" s="325">
        <v>0</v>
      </c>
      <c r="U39" s="325">
        <v>0</v>
      </c>
      <c r="V39" s="492">
        <f>P39+Q39+R39+S39+T39+U39</f>
        <v>-52000</v>
      </c>
      <c r="W39" s="325">
        <v>52000</v>
      </c>
      <c r="X39" s="325">
        <v>0</v>
      </c>
      <c r="Y39" s="325">
        <v>0</v>
      </c>
      <c r="Z39" s="492">
        <f>W39+X39+Y39</f>
        <v>52000</v>
      </c>
      <c r="AA39" s="492">
        <f>V39+Z39</f>
        <v>0</v>
      </c>
      <c r="AB39" s="494">
        <f>ROUND((V39+Z39)*33.8%,0)</f>
        <v>0</v>
      </c>
      <c r="AC39" s="494">
        <f>ROUND(V39*1%,0)</f>
        <v>-520</v>
      </c>
      <c r="AD39" s="492">
        <v>0</v>
      </c>
      <c r="AE39" s="753">
        <f t="shared" ref="AE39:AE42" si="33">AA39+AB39+AC39+AD39</f>
        <v>-520</v>
      </c>
      <c r="AF39" s="813">
        <v>-6.0000000000000012E-2</v>
      </c>
      <c r="AG39" s="729">
        <v>0</v>
      </c>
      <c r="AH39" s="728">
        <v>0</v>
      </c>
      <c r="AI39" s="728">
        <v>0</v>
      </c>
      <c r="AJ39" s="326">
        <v>0</v>
      </c>
      <c r="AK39" s="326">
        <v>0</v>
      </c>
      <c r="AL39" s="609">
        <f>SUM(AF39:AK39)</f>
        <v>-6.0000000000000012E-2</v>
      </c>
      <c r="AM39" s="676">
        <f>I39+AE39</f>
        <v>41004841</v>
      </c>
      <c r="AN39" s="492">
        <f>J39+V39</f>
        <v>30289987</v>
      </c>
      <c r="AO39" s="573">
        <f>K39+Z39</f>
        <v>130000</v>
      </c>
      <c r="AP39" s="492">
        <f t="shared" ref="AP39:AR42" si="34">L39+AB39</f>
        <v>10281954</v>
      </c>
      <c r="AQ39" s="492">
        <f t="shared" si="34"/>
        <v>302900</v>
      </c>
      <c r="AR39" s="492">
        <f t="shared" si="34"/>
        <v>0</v>
      </c>
      <c r="AS39" s="609">
        <f>O39+AL39</f>
        <v>39.146100000000004</v>
      </c>
    </row>
    <row r="40" spans="1:45" ht="12.95" customHeight="1" x14ac:dyDescent="0.25">
      <c r="A40" s="704">
        <v>10</v>
      </c>
      <c r="B40" s="736">
        <v>5458</v>
      </c>
      <c r="C40" s="736">
        <v>600099288</v>
      </c>
      <c r="D40" s="736">
        <v>856126</v>
      </c>
      <c r="E40" s="737" t="s">
        <v>453</v>
      </c>
      <c r="F40" s="736">
        <v>3113</v>
      </c>
      <c r="G40" s="737" t="s">
        <v>799</v>
      </c>
      <c r="H40" s="738" t="s">
        <v>262</v>
      </c>
      <c r="I40" s="580">
        <v>761395</v>
      </c>
      <c r="J40" s="490">
        <v>564833</v>
      </c>
      <c r="K40" s="490">
        <v>0</v>
      </c>
      <c r="L40" s="55">
        <v>190914</v>
      </c>
      <c r="M40" s="55">
        <v>5648</v>
      </c>
      <c r="N40" s="490">
        <v>0</v>
      </c>
      <c r="O40" s="719">
        <v>1.05</v>
      </c>
      <c r="P40" s="552">
        <f t="shared" ref="P40" si="35">W40*-1</f>
        <v>0</v>
      </c>
      <c r="Q40" s="573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 t="shared" ref="V40" si="36">P40+Q40+R40+S40+T40+U40</f>
        <v>0</v>
      </c>
      <c r="W40" s="325">
        <v>0</v>
      </c>
      <c r="X40" s="325">
        <v>0</v>
      </c>
      <c r="Y40" s="325">
        <v>0</v>
      </c>
      <c r="Z40" s="492">
        <f>W40+X40+Y40</f>
        <v>0</v>
      </c>
      <c r="AA40" s="492">
        <f>V40+Z40</f>
        <v>0</v>
      </c>
      <c r="AB40" s="494">
        <f>ROUND((V40+Z40)*33.8%,0)</f>
        <v>0</v>
      </c>
      <c r="AC40" s="494">
        <f>ROUND(V40*1%,0)</f>
        <v>0</v>
      </c>
      <c r="AD40" s="492">
        <v>0</v>
      </c>
      <c r="AE40" s="753">
        <f t="shared" si="33"/>
        <v>0</v>
      </c>
      <c r="AF40" s="813">
        <v>0</v>
      </c>
      <c r="AG40" s="729">
        <v>0</v>
      </c>
      <c r="AH40" s="728">
        <v>0</v>
      </c>
      <c r="AI40" s="728">
        <v>0</v>
      </c>
      <c r="AJ40" s="326">
        <v>0</v>
      </c>
      <c r="AK40" s="326">
        <v>0</v>
      </c>
      <c r="AL40" s="609">
        <f>SUM(AF40:AK40)</f>
        <v>0</v>
      </c>
      <c r="AM40" s="676">
        <f>I40+AE40</f>
        <v>761395</v>
      </c>
      <c r="AN40" s="492">
        <f>J40+V40</f>
        <v>564833</v>
      </c>
      <c r="AO40" s="573">
        <f>K40+Z40</f>
        <v>0</v>
      </c>
      <c r="AP40" s="492">
        <f t="shared" si="34"/>
        <v>190914</v>
      </c>
      <c r="AQ40" s="492">
        <f t="shared" si="34"/>
        <v>5648</v>
      </c>
      <c r="AR40" s="492">
        <f t="shared" si="34"/>
        <v>0</v>
      </c>
      <c r="AS40" s="609">
        <f>O40+AL40</f>
        <v>1.05</v>
      </c>
    </row>
    <row r="41" spans="1:45" ht="12.95" customHeight="1" x14ac:dyDescent="0.25">
      <c r="A41" s="205">
        <v>10</v>
      </c>
      <c r="B41" s="143">
        <v>5458</v>
      </c>
      <c r="C41" s="143">
        <v>600099288</v>
      </c>
      <c r="D41" s="143">
        <v>856126</v>
      </c>
      <c r="E41" s="295" t="s">
        <v>453</v>
      </c>
      <c r="F41" s="143">
        <v>3113</v>
      </c>
      <c r="G41" s="248" t="s">
        <v>278</v>
      </c>
      <c r="H41" s="210" t="s">
        <v>263</v>
      </c>
      <c r="I41" s="580">
        <v>4416045</v>
      </c>
      <c r="J41" s="490">
        <v>3275998</v>
      </c>
      <c r="K41" s="490">
        <v>0</v>
      </c>
      <c r="L41" s="55">
        <v>1107287</v>
      </c>
      <c r="M41" s="55">
        <v>32760</v>
      </c>
      <c r="N41" s="490">
        <v>0</v>
      </c>
      <c r="O41" s="719">
        <v>8.1999999999999993</v>
      </c>
      <c r="P41" s="327">
        <f>W41*-1</f>
        <v>0</v>
      </c>
      <c r="Q41" s="573">
        <v>82677</v>
      </c>
      <c r="R41" s="325">
        <v>0</v>
      </c>
      <c r="S41" s="325">
        <v>0</v>
      </c>
      <c r="T41" s="325">
        <v>0</v>
      </c>
      <c r="U41" s="325">
        <v>0</v>
      </c>
      <c r="V41" s="492">
        <f>P41+Q41+R41+S41+T41+U41</f>
        <v>82677</v>
      </c>
      <c r="W41" s="325">
        <v>0</v>
      </c>
      <c r="X41" s="325">
        <v>0</v>
      </c>
      <c r="Y41" s="325">
        <v>0</v>
      </c>
      <c r="Z41" s="492">
        <f>W41+X41+Y41</f>
        <v>0</v>
      </c>
      <c r="AA41" s="492">
        <f>V41+Z41</f>
        <v>82677</v>
      </c>
      <c r="AB41" s="494">
        <f>ROUND((V41+Z41)*33.8%,0)</f>
        <v>27945</v>
      </c>
      <c r="AC41" s="494">
        <f>ROUND(V41*1%,0)</f>
        <v>827</v>
      </c>
      <c r="AD41" s="492">
        <v>0</v>
      </c>
      <c r="AE41" s="753">
        <f t="shared" si="33"/>
        <v>111449</v>
      </c>
      <c r="AF41" s="813">
        <v>0</v>
      </c>
      <c r="AG41" s="729">
        <v>0.21</v>
      </c>
      <c r="AH41" s="728">
        <v>0</v>
      </c>
      <c r="AI41" s="728">
        <v>0</v>
      </c>
      <c r="AJ41" s="326">
        <v>0</v>
      </c>
      <c r="AK41" s="326">
        <v>0</v>
      </c>
      <c r="AL41" s="609">
        <f>SUM(AF41:AK41)</f>
        <v>0.21</v>
      </c>
      <c r="AM41" s="676">
        <f>I41+AE41</f>
        <v>4527494</v>
      </c>
      <c r="AN41" s="492">
        <f>J41+V41</f>
        <v>3358675</v>
      </c>
      <c r="AO41" s="573">
        <f>K41+Z41</f>
        <v>0</v>
      </c>
      <c r="AP41" s="492">
        <f t="shared" si="34"/>
        <v>1135232</v>
      </c>
      <c r="AQ41" s="492">
        <f t="shared" si="34"/>
        <v>33587</v>
      </c>
      <c r="AR41" s="492">
        <f t="shared" si="34"/>
        <v>0</v>
      </c>
      <c r="AS41" s="609">
        <f>O41+AL41</f>
        <v>8.41</v>
      </c>
    </row>
    <row r="42" spans="1:45" ht="12.95" customHeight="1" x14ac:dyDescent="0.25">
      <c r="A42" s="205">
        <v>10</v>
      </c>
      <c r="B42" s="143">
        <v>5458</v>
      </c>
      <c r="C42" s="143">
        <v>600099288</v>
      </c>
      <c r="D42" s="143">
        <v>856126</v>
      </c>
      <c r="E42" s="295" t="s">
        <v>453</v>
      </c>
      <c r="F42" s="143">
        <v>3143</v>
      </c>
      <c r="G42" s="248" t="s">
        <v>795</v>
      </c>
      <c r="H42" s="210" t="s">
        <v>262</v>
      </c>
      <c r="I42" s="580">
        <v>3061175</v>
      </c>
      <c r="J42" s="490">
        <v>2258990</v>
      </c>
      <c r="K42" s="490">
        <v>12000</v>
      </c>
      <c r="L42" s="55">
        <v>767595</v>
      </c>
      <c r="M42" s="55">
        <v>22590</v>
      </c>
      <c r="N42" s="490">
        <v>0</v>
      </c>
      <c r="O42" s="719">
        <v>4.4748999999999999</v>
      </c>
      <c r="P42" s="327">
        <f>W42*-1</f>
        <v>-8000</v>
      </c>
      <c r="Q42" s="573">
        <v>0</v>
      </c>
      <c r="R42" s="325">
        <v>0</v>
      </c>
      <c r="S42" s="325">
        <v>0</v>
      </c>
      <c r="T42" s="325">
        <v>0</v>
      </c>
      <c r="U42" s="325">
        <v>0</v>
      </c>
      <c r="V42" s="492">
        <f>P42+Q42+R42+S42+T42+U42</f>
        <v>-8000</v>
      </c>
      <c r="W42" s="325">
        <v>8000</v>
      </c>
      <c r="X42" s="325">
        <v>0</v>
      </c>
      <c r="Y42" s="325">
        <v>0</v>
      </c>
      <c r="Z42" s="492">
        <f>W42+X42+Y42</f>
        <v>8000</v>
      </c>
      <c r="AA42" s="492">
        <f>V42+Z42</f>
        <v>0</v>
      </c>
      <c r="AB42" s="494">
        <f>ROUND((V42+Z42)*33.8%,0)</f>
        <v>0</v>
      </c>
      <c r="AC42" s="494">
        <f>ROUND(V42*1%,0)</f>
        <v>-80</v>
      </c>
      <c r="AD42" s="492">
        <v>0</v>
      </c>
      <c r="AE42" s="753">
        <f t="shared" si="33"/>
        <v>-80</v>
      </c>
      <c r="AF42" s="813">
        <v>0</v>
      </c>
      <c r="AG42" s="729">
        <v>0</v>
      </c>
      <c r="AH42" s="728">
        <v>0</v>
      </c>
      <c r="AI42" s="728">
        <v>0</v>
      </c>
      <c r="AJ42" s="326">
        <v>0</v>
      </c>
      <c r="AK42" s="326">
        <v>0</v>
      </c>
      <c r="AL42" s="609">
        <f>SUM(AF42:AK42)</f>
        <v>0</v>
      </c>
      <c r="AM42" s="676">
        <f>I42+AE42</f>
        <v>3061095</v>
      </c>
      <c r="AN42" s="492">
        <f>J42+V42</f>
        <v>2250990</v>
      </c>
      <c r="AO42" s="573">
        <f>K42+Z42</f>
        <v>20000</v>
      </c>
      <c r="AP42" s="492">
        <f t="shared" si="34"/>
        <v>767595</v>
      </c>
      <c r="AQ42" s="492">
        <f t="shared" si="34"/>
        <v>22510</v>
      </c>
      <c r="AR42" s="492">
        <f t="shared" si="34"/>
        <v>0</v>
      </c>
      <c r="AS42" s="609">
        <f>O42+AL42</f>
        <v>4.4748999999999999</v>
      </c>
    </row>
    <row r="43" spans="1:45" ht="12.95" customHeight="1" x14ac:dyDescent="0.25">
      <c r="A43" s="144">
        <v>10</v>
      </c>
      <c r="B43" s="41">
        <v>5458</v>
      </c>
      <c r="C43" s="41">
        <v>600099288</v>
      </c>
      <c r="D43" s="41">
        <v>856126</v>
      </c>
      <c r="E43" s="297" t="s">
        <v>454</v>
      </c>
      <c r="F43" s="41"/>
      <c r="G43" s="297"/>
      <c r="H43" s="128"/>
      <c r="I43" s="650">
        <v>49243976</v>
      </c>
      <c r="J43" s="568">
        <v>36441808</v>
      </c>
      <c r="K43" s="568">
        <v>90000</v>
      </c>
      <c r="L43" s="368">
        <v>12347750</v>
      </c>
      <c r="M43" s="368">
        <v>364418</v>
      </c>
      <c r="N43" s="568">
        <v>0</v>
      </c>
      <c r="O43" s="734">
        <v>52.931000000000004</v>
      </c>
      <c r="P43" s="655">
        <f t="shared" ref="P43:AS43" si="37">SUM(P39:P42)</f>
        <v>-60000</v>
      </c>
      <c r="Q43" s="467">
        <f t="shared" si="37"/>
        <v>82677</v>
      </c>
      <c r="R43" s="368">
        <f t="shared" si="37"/>
        <v>0</v>
      </c>
      <c r="S43" s="368">
        <f t="shared" si="37"/>
        <v>0</v>
      </c>
      <c r="T43" s="368">
        <f t="shared" si="37"/>
        <v>0</v>
      </c>
      <c r="U43" s="368">
        <f t="shared" si="37"/>
        <v>0</v>
      </c>
      <c r="V43" s="368">
        <f t="shared" si="37"/>
        <v>22677</v>
      </c>
      <c r="W43" s="368">
        <f t="shared" si="37"/>
        <v>60000</v>
      </c>
      <c r="X43" s="368">
        <f t="shared" si="37"/>
        <v>0</v>
      </c>
      <c r="Y43" s="368">
        <f t="shared" si="37"/>
        <v>0</v>
      </c>
      <c r="Z43" s="368">
        <f t="shared" si="37"/>
        <v>60000</v>
      </c>
      <c r="AA43" s="368">
        <f t="shared" si="37"/>
        <v>82677</v>
      </c>
      <c r="AB43" s="368">
        <f t="shared" si="37"/>
        <v>27945</v>
      </c>
      <c r="AC43" s="368">
        <f t="shared" si="37"/>
        <v>227</v>
      </c>
      <c r="AD43" s="368">
        <f t="shared" si="37"/>
        <v>0</v>
      </c>
      <c r="AE43" s="809">
        <f t="shared" si="37"/>
        <v>110849</v>
      </c>
      <c r="AF43" s="816">
        <f t="shared" si="37"/>
        <v>-6.0000000000000012E-2</v>
      </c>
      <c r="AG43" s="735">
        <f t="shared" si="37"/>
        <v>0.21</v>
      </c>
      <c r="AH43" s="735">
        <f t="shared" si="37"/>
        <v>0</v>
      </c>
      <c r="AI43" s="735">
        <f t="shared" si="37"/>
        <v>0</v>
      </c>
      <c r="AJ43" s="369">
        <f t="shared" si="37"/>
        <v>0</v>
      </c>
      <c r="AK43" s="369">
        <f t="shared" si="37"/>
        <v>0</v>
      </c>
      <c r="AL43" s="302">
        <f t="shared" si="37"/>
        <v>0.14999999999999997</v>
      </c>
      <c r="AM43" s="655">
        <f t="shared" si="37"/>
        <v>49354825</v>
      </c>
      <c r="AN43" s="467">
        <f t="shared" si="37"/>
        <v>36464485</v>
      </c>
      <c r="AO43" s="368">
        <f t="shared" si="37"/>
        <v>150000</v>
      </c>
      <c r="AP43" s="368">
        <f t="shared" si="37"/>
        <v>12375695</v>
      </c>
      <c r="AQ43" s="368">
        <f t="shared" si="37"/>
        <v>364645</v>
      </c>
      <c r="AR43" s="368">
        <f t="shared" si="37"/>
        <v>0</v>
      </c>
      <c r="AS43" s="302">
        <f t="shared" si="37"/>
        <v>53.080999999999996</v>
      </c>
    </row>
    <row r="44" spans="1:45" ht="12.95" customHeight="1" x14ac:dyDescent="0.25">
      <c r="A44" s="205">
        <v>11</v>
      </c>
      <c r="B44" s="143">
        <v>5456</v>
      </c>
      <c r="C44" s="143">
        <v>600099369</v>
      </c>
      <c r="D44" s="143">
        <v>854794</v>
      </c>
      <c r="E44" s="295" t="s">
        <v>455</v>
      </c>
      <c r="F44" s="143">
        <v>3113</v>
      </c>
      <c r="G44" s="295" t="s">
        <v>294</v>
      </c>
      <c r="H44" s="210" t="s">
        <v>262</v>
      </c>
      <c r="I44" s="580">
        <v>49299838</v>
      </c>
      <c r="J44" s="490">
        <v>36504091</v>
      </c>
      <c r="K44" s="490">
        <v>69000</v>
      </c>
      <c r="L44" s="55">
        <v>12361705</v>
      </c>
      <c r="M44" s="55">
        <v>365042</v>
      </c>
      <c r="N44" s="490">
        <v>0</v>
      </c>
      <c r="O44" s="719">
        <v>48.826000000000001</v>
      </c>
      <c r="P44" s="552">
        <f>W44*-1</f>
        <v>-46000</v>
      </c>
      <c r="Q44" s="573">
        <v>0</v>
      </c>
      <c r="R44" s="325">
        <v>0</v>
      </c>
      <c r="S44" s="325">
        <v>0</v>
      </c>
      <c r="T44" s="325">
        <v>0</v>
      </c>
      <c r="U44" s="325">
        <v>0</v>
      </c>
      <c r="V44" s="492">
        <f>P44+Q44+R44+S44+T44+U44</f>
        <v>-46000</v>
      </c>
      <c r="W44" s="325">
        <v>46000</v>
      </c>
      <c r="X44" s="325">
        <v>0</v>
      </c>
      <c r="Y44" s="325">
        <v>0</v>
      </c>
      <c r="Z44" s="492">
        <f>W44+X44+Y44</f>
        <v>46000</v>
      </c>
      <c r="AA44" s="492">
        <f>V44+Z44</f>
        <v>0</v>
      </c>
      <c r="AB44" s="494">
        <f>ROUND((V44+Z44)*33.8%,0)</f>
        <v>0</v>
      </c>
      <c r="AC44" s="494">
        <f>ROUND(V44*1%,0)</f>
        <v>-460</v>
      </c>
      <c r="AD44" s="492">
        <v>0</v>
      </c>
      <c r="AE44" s="753">
        <f t="shared" ref="AE44:AE47" si="38">AA44+AB44+AC44+AD44</f>
        <v>-460</v>
      </c>
      <c r="AF44" s="813">
        <v>-4.0000000000000008E-2</v>
      </c>
      <c r="AG44" s="729">
        <v>0</v>
      </c>
      <c r="AH44" s="728">
        <v>0</v>
      </c>
      <c r="AI44" s="728">
        <v>0</v>
      </c>
      <c r="AJ44" s="326">
        <v>0</v>
      </c>
      <c r="AK44" s="326">
        <v>0</v>
      </c>
      <c r="AL44" s="609">
        <f>SUM(AF44:AK44)</f>
        <v>-4.0000000000000008E-2</v>
      </c>
      <c r="AM44" s="676">
        <f>I44+AE44</f>
        <v>49299378</v>
      </c>
      <c r="AN44" s="492">
        <f>J44+V44</f>
        <v>36458091</v>
      </c>
      <c r="AO44" s="573">
        <f>K44+Z44</f>
        <v>115000</v>
      </c>
      <c r="AP44" s="492">
        <f t="shared" ref="AP44:AR47" si="39">L44+AB44</f>
        <v>12361705</v>
      </c>
      <c r="AQ44" s="492">
        <f t="shared" si="39"/>
        <v>364582</v>
      </c>
      <c r="AR44" s="492">
        <f t="shared" si="39"/>
        <v>0</v>
      </c>
      <c r="AS44" s="609">
        <f>O44+AL44</f>
        <v>48.786000000000001</v>
      </c>
    </row>
    <row r="45" spans="1:45" ht="12.95" customHeight="1" x14ac:dyDescent="0.25">
      <c r="A45" s="704">
        <v>11</v>
      </c>
      <c r="B45" s="736">
        <v>5456</v>
      </c>
      <c r="C45" s="736">
        <v>600099369</v>
      </c>
      <c r="D45" s="736">
        <v>854794</v>
      </c>
      <c r="E45" s="737" t="s">
        <v>455</v>
      </c>
      <c r="F45" s="736">
        <v>3113</v>
      </c>
      <c r="G45" s="737" t="s">
        <v>799</v>
      </c>
      <c r="H45" s="738" t="s">
        <v>262</v>
      </c>
      <c r="I45" s="580">
        <v>726771</v>
      </c>
      <c r="J45" s="490">
        <v>539148</v>
      </c>
      <c r="K45" s="490">
        <v>0</v>
      </c>
      <c r="L45" s="55">
        <v>182232</v>
      </c>
      <c r="M45" s="55">
        <v>5391</v>
      </c>
      <c r="N45" s="490">
        <v>0</v>
      </c>
      <c r="O45" s="719">
        <v>1</v>
      </c>
      <c r="P45" s="552">
        <f t="shared" ref="P45" si="40">W45*-1</f>
        <v>0</v>
      </c>
      <c r="Q45" s="573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 t="shared" ref="V45" si="41">P45+Q45+R45+S45+T45+U45</f>
        <v>0</v>
      </c>
      <c r="W45" s="325">
        <v>0</v>
      </c>
      <c r="X45" s="325">
        <v>0</v>
      </c>
      <c r="Y45" s="325">
        <v>0</v>
      </c>
      <c r="Z45" s="492">
        <f>W45+X45+Y45</f>
        <v>0</v>
      </c>
      <c r="AA45" s="492">
        <f>V45+Z45</f>
        <v>0</v>
      </c>
      <c r="AB45" s="494">
        <f>ROUND((V45+Z45)*33.8%,0)</f>
        <v>0</v>
      </c>
      <c r="AC45" s="494">
        <f>ROUND(V45*1%,0)</f>
        <v>0</v>
      </c>
      <c r="AD45" s="492">
        <v>0</v>
      </c>
      <c r="AE45" s="753">
        <f t="shared" si="38"/>
        <v>0</v>
      </c>
      <c r="AF45" s="813">
        <v>0</v>
      </c>
      <c r="AG45" s="729">
        <v>0</v>
      </c>
      <c r="AH45" s="728">
        <v>0</v>
      </c>
      <c r="AI45" s="728">
        <v>0</v>
      </c>
      <c r="AJ45" s="326">
        <v>0</v>
      </c>
      <c r="AK45" s="326">
        <v>0</v>
      </c>
      <c r="AL45" s="609">
        <f>SUM(AF45:AK45)</f>
        <v>0</v>
      </c>
      <c r="AM45" s="676">
        <f>I45+AE45</f>
        <v>726771</v>
      </c>
      <c r="AN45" s="492">
        <f>J45+V45</f>
        <v>539148</v>
      </c>
      <c r="AO45" s="573">
        <f>K45+Z45</f>
        <v>0</v>
      </c>
      <c r="AP45" s="492">
        <f t="shared" si="39"/>
        <v>182232</v>
      </c>
      <c r="AQ45" s="492">
        <f t="shared" si="39"/>
        <v>5391</v>
      </c>
      <c r="AR45" s="492">
        <f t="shared" si="39"/>
        <v>0</v>
      </c>
      <c r="AS45" s="609">
        <f>O45+AL45</f>
        <v>1</v>
      </c>
    </row>
    <row r="46" spans="1:45" ht="12.95" customHeight="1" x14ac:dyDescent="0.25">
      <c r="A46" s="205">
        <v>11</v>
      </c>
      <c r="B46" s="143">
        <v>5456</v>
      </c>
      <c r="C46" s="143">
        <v>600099369</v>
      </c>
      <c r="D46" s="143">
        <v>854794</v>
      </c>
      <c r="E46" s="142" t="s">
        <v>455</v>
      </c>
      <c r="F46" s="143">
        <v>3113</v>
      </c>
      <c r="G46" s="248" t="s">
        <v>278</v>
      </c>
      <c r="H46" s="210" t="s">
        <v>263</v>
      </c>
      <c r="I46" s="580">
        <v>6338009</v>
      </c>
      <c r="J46" s="490">
        <v>4701787</v>
      </c>
      <c r="K46" s="490">
        <v>0</v>
      </c>
      <c r="L46" s="55">
        <v>1589204</v>
      </c>
      <c r="M46" s="55">
        <v>47018</v>
      </c>
      <c r="N46" s="490">
        <v>0</v>
      </c>
      <c r="O46" s="719">
        <v>11.82</v>
      </c>
      <c r="P46" s="327">
        <f>W46*-1</f>
        <v>0</v>
      </c>
      <c r="Q46" s="573">
        <v>0</v>
      </c>
      <c r="R46" s="325">
        <v>0</v>
      </c>
      <c r="S46" s="325">
        <v>0</v>
      </c>
      <c r="T46" s="325">
        <v>0</v>
      </c>
      <c r="U46" s="325">
        <v>0</v>
      </c>
      <c r="V46" s="492">
        <f>P46+Q46+R46+S46+T46+U46</f>
        <v>0</v>
      </c>
      <c r="W46" s="325">
        <v>0</v>
      </c>
      <c r="X46" s="325">
        <v>0</v>
      </c>
      <c r="Y46" s="325">
        <v>0</v>
      </c>
      <c r="Z46" s="492">
        <f>W46+X46+Y46</f>
        <v>0</v>
      </c>
      <c r="AA46" s="492">
        <f>V46+Z46</f>
        <v>0</v>
      </c>
      <c r="AB46" s="494">
        <f>ROUND((V46+Z46)*33.8%,0)</f>
        <v>0</v>
      </c>
      <c r="AC46" s="494">
        <f>ROUND(V46*1%,0)</f>
        <v>0</v>
      </c>
      <c r="AD46" s="492">
        <v>0</v>
      </c>
      <c r="AE46" s="753">
        <f t="shared" si="38"/>
        <v>0</v>
      </c>
      <c r="AF46" s="813">
        <v>0</v>
      </c>
      <c r="AG46" s="729">
        <v>0</v>
      </c>
      <c r="AH46" s="728">
        <v>0</v>
      </c>
      <c r="AI46" s="728">
        <v>0</v>
      </c>
      <c r="AJ46" s="326">
        <v>0</v>
      </c>
      <c r="AK46" s="326">
        <v>0</v>
      </c>
      <c r="AL46" s="609">
        <f>SUM(AF46:AK46)</f>
        <v>0</v>
      </c>
      <c r="AM46" s="676">
        <f>I46+AE46</f>
        <v>6338009</v>
      </c>
      <c r="AN46" s="492">
        <f>J46+V46</f>
        <v>4701787</v>
      </c>
      <c r="AO46" s="573">
        <f>K46+Z46</f>
        <v>0</v>
      </c>
      <c r="AP46" s="492">
        <f t="shared" si="39"/>
        <v>1589204</v>
      </c>
      <c r="AQ46" s="492">
        <f t="shared" si="39"/>
        <v>47018</v>
      </c>
      <c r="AR46" s="492">
        <f t="shared" si="39"/>
        <v>0</v>
      </c>
      <c r="AS46" s="609">
        <f>O46+AL46</f>
        <v>11.82</v>
      </c>
    </row>
    <row r="47" spans="1:45" ht="12.95" customHeight="1" x14ac:dyDescent="0.25">
      <c r="A47" s="205">
        <v>11</v>
      </c>
      <c r="B47" s="143">
        <v>5456</v>
      </c>
      <c r="C47" s="143">
        <v>600099369</v>
      </c>
      <c r="D47" s="143">
        <v>854794</v>
      </c>
      <c r="E47" s="142" t="s">
        <v>455</v>
      </c>
      <c r="F47" s="143">
        <v>3143</v>
      </c>
      <c r="G47" s="248" t="s">
        <v>794</v>
      </c>
      <c r="H47" s="210" t="s">
        <v>262</v>
      </c>
      <c r="I47" s="580">
        <v>4153723</v>
      </c>
      <c r="J47" s="490">
        <v>3081397</v>
      </c>
      <c r="K47" s="490">
        <v>0</v>
      </c>
      <c r="L47" s="55">
        <v>1041512</v>
      </c>
      <c r="M47" s="55">
        <v>30814</v>
      </c>
      <c r="N47" s="490">
        <v>0</v>
      </c>
      <c r="O47" s="719">
        <v>5.6980000000000004</v>
      </c>
      <c r="P47" s="327">
        <f>W47*-1</f>
        <v>0</v>
      </c>
      <c r="Q47" s="573">
        <v>0</v>
      </c>
      <c r="R47" s="325">
        <v>0</v>
      </c>
      <c r="S47" s="325">
        <v>0</v>
      </c>
      <c r="T47" s="325">
        <v>0</v>
      </c>
      <c r="U47" s="325">
        <v>0</v>
      </c>
      <c r="V47" s="492">
        <f>P47+Q47+R47+S47+T47+U47</f>
        <v>0</v>
      </c>
      <c r="W47" s="325">
        <v>0</v>
      </c>
      <c r="X47" s="325">
        <v>0</v>
      </c>
      <c r="Y47" s="325">
        <v>0</v>
      </c>
      <c r="Z47" s="492">
        <f>W47+X47+Y47</f>
        <v>0</v>
      </c>
      <c r="AA47" s="492">
        <f>V47+Z47</f>
        <v>0</v>
      </c>
      <c r="AB47" s="494">
        <f>ROUND((V47+Z47)*33.8%,0)</f>
        <v>0</v>
      </c>
      <c r="AC47" s="494">
        <f>ROUND(V47*1%,0)</f>
        <v>0</v>
      </c>
      <c r="AD47" s="492">
        <v>0</v>
      </c>
      <c r="AE47" s="753">
        <f t="shared" si="38"/>
        <v>0</v>
      </c>
      <c r="AF47" s="813">
        <v>0</v>
      </c>
      <c r="AG47" s="729">
        <v>0</v>
      </c>
      <c r="AH47" s="728">
        <v>0</v>
      </c>
      <c r="AI47" s="728">
        <v>0</v>
      </c>
      <c r="AJ47" s="326">
        <v>0</v>
      </c>
      <c r="AK47" s="326">
        <v>0</v>
      </c>
      <c r="AL47" s="609">
        <f>SUM(AF47:AK47)</f>
        <v>0</v>
      </c>
      <c r="AM47" s="676">
        <f>I47+AE47</f>
        <v>4153723</v>
      </c>
      <c r="AN47" s="492">
        <f>J47+V47</f>
        <v>3081397</v>
      </c>
      <c r="AO47" s="573">
        <f>K47+Z47</f>
        <v>0</v>
      </c>
      <c r="AP47" s="492">
        <f t="shared" si="39"/>
        <v>1041512</v>
      </c>
      <c r="AQ47" s="492">
        <f t="shared" si="39"/>
        <v>30814</v>
      </c>
      <c r="AR47" s="492">
        <f t="shared" si="39"/>
        <v>0</v>
      </c>
      <c r="AS47" s="609">
        <f>O47+AL47</f>
        <v>5.6980000000000004</v>
      </c>
    </row>
    <row r="48" spans="1:45" ht="12.95" customHeight="1" x14ac:dyDescent="0.25">
      <c r="A48" s="144">
        <v>11</v>
      </c>
      <c r="B48" s="44">
        <v>5456</v>
      </c>
      <c r="C48" s="44">
        <v>600099369</v>
      </c>
      <c r="D48" s="44">
        <v>854794</v>
      </c>
      <c r="E48" s="297" t="s">
        <v>456</v>
      </c>
      <c r="F48" s="44"/>
      <c r="G48" s="310"/>
      <c r="H48" s="131"/>
      <c r="I48" s="649">
        <v>60518341</v>
      </c>
      <c r="J48" s="567">
        <v>44826423</v>
      </c>
      <c r="K48" s="567">
        <v>69000</v>
      </c>
      <c r="L48" s="351">
        <v>15174653</v>
      </c>
      <c r="M48" s="351">
        <v>448265</v>
      </c>
      <c r="N48" s="567">
        <v>0</v>
      </c>
      <c r="O48" s="732">
        <v>67.343999999999994</v>
      </c>
      <c r="P48" s="654">
        <f t="shared" ref="P48:AS48" si="42">SUM(P44:P47)</f>
        <v>-46000</v>
      </c>
      <c r="Q48" s="466">
        <f t="shared" si="42"/>
        <v>0</v>
      </c>
      <c r="R48" s="351">
        <f t="shared" si="42"/>
        <v>0</v>
      </c>
      <c r="S48" s="351">
        <f t="shared" si="42"/>
        <v>0</v>
      </c>
      <c r="T48" s="351">
        <f t="shared" si="42"/>
        <v>0</v>
      </c>
      <c r="U48" s="351">
        <f t="shared" si="42"/>
        <v>0</v>
      </c>
      <c r="V48" s="351">
        <f t="shared" si="42"/>
        <v>-46000</v>
      </c>
      <c r="W48" s="351">
        <f t="shared" si="42"/>
        <v>46000</v>
      </c>
      <c r="X48" s="351">
        <f t="shared" si="42"/>
        <v>0</v>
      </c>
      <c r="Y48" s="351">
        <f t="shared" si="42"/>
        <v>0</v>
      </c>
      <c r="Z48" s="351">
        <f t="shared" si="42"/>
        <v>46000</v>
      </c>
      <c r="AA48" s="351">
        <f t="shared" si="42"/>
        <v>0</v>
      </c>
      <c r="AB48" s="351">
        <f t="shared" si="42"/>
        <v>0</v>
      </c>
      <c r="AC48" s="351">
        <f t="shared" si="42"/>
        <v>-460</v>
      </c>
      <c r="AD48" s="351">
        <f t="shared" si="42"/>
        <v>0</v>
      </c>
      <c r="AE48" s="808">
        <f t="shared" si="42"/>
        <v>-460</v>
      </c>
      <c r="AF48" s="815">
        <f t="shared" si="42"/>
        <v>-4.0000000000000008E-2</v>
      </c>
      <c r="AG48" s="733">
        <f t="shared" si="42"/>
        <v>0</v>
      </c>
      <c r="AH48" s="733">
        <f t="shared" si="42"/>
        <v>0</v>
      </c>
      <c r="AI48" s="733">
        <f t="shared" si="42"/>
        <v>0</v>
      </c>
      <c r="AJ48" s="352">
        <f t="shared" si="42"/>
        <v>0</v>
      </c>
      <c r="AK48" s="352">
        <f t="shared" si="42"/>
        <v>0</v>
      </c>
      <c r="AL48" s="204">
        <f t="shared" si="42"/>
        <v>-4.0000000000000008E-2</v>
      </c>
      <c r="AM48" s="654">
        <f t="shared" si="42"/>
        <v>60517881</v>
      </c>
      <c r="AN48" s="466">
        <f t="shared" si="42"/>
        <v>44780423</v>
      </c>
      <c r="AO48" s="351">
        <f t="shared" si="42"/>
        <v>115000</v>
      </c>
      <c r="AP48" s="351">
        <f t="shared" si="42"/>
        <v>15174653</v>
      </c>
      <c r="AQ48" s="351">
        <f t="shared" si="42"/>
        <v>447805</v>
      </c>
      <c r="AR48" s="351">
        <f t="shared" si="42"/>
        <v>0</v>
      </c>
      <c r="AS48" s="204">
        <f t="shared" si="42"/>
        <v>67.304000000000002</v>
      </c>
    </row>
    <row r="49" spans="1:45" ht="12.95" customHeight="1" x14ac:dyDescent="0.25">
      <c r="A49" s="205">
        <v>12</v>
      </c>
      <c r="B49" s="143">
        <v>5481</v>
      </c>
      <c r="C49" s="143">
        <v>600099075</v>
      </c>
      <c r="D49" s="143">
        <v>72742739</v>
      </c>
      <c r="E49" s="295" t="s">
        <v>457</v>
      </c>
      <c r="F49" s="143">
        <v>3117</v>
      </c>
      <c r="G49" s="295" t="s">
        <v>294</v>
      </c>
      <c r="H49" s="210" t="s">
        <v>262</v>
      </c>
      <c r="I49" s="580">
        <v>6163945</v>
      </c>
      <c r="J49" s="490">
        <v>4543656</v>
      </c>
      <c r="K49" s="490">
        <v>29220</v>
      </c>
      <c r="L49" s="55">
        <v>1545632</v>
      </c>
      <c r="M49" s="55">
        <v>45437</v>
      </c>
      <c r="N49" s="490">
        <v>0</v>
      </c>
      <c r="O49" s="719">
        <v>6.3536999999999999</v>
      </c>
      <c r="P49" s="552">
        <f>W49*-1</f>
        <v>-19480</v>
      </c>
      <c r="Q49" s="573">
        <v>0</v>
      </c>
      <c r="R49" s="325">
        <v>0</v>
      </c>
      <c r="S49" s="325">
        <v>0</v>
      </c>
      <c r="T49" s="325">
        <v>0</v>
      </c>
      <c r="U49" s="325">
        <v>0</v>
      </c>
      <c r="V49" s="492">
        <f>P49+Q49+R49+S49+T49+U49</f>
        <v>-19480</v>
      </c>
      <c r="W49" s="325">
        <v>19480</v>
      </c>
      <c r="X49" s="325">
        <v>0</v>
      </c>
      <c r="Y49" s="325">
        <v>0</v>
      </c>
      <c r="Z49" s="492">
        <f>W49+X49+Y49</f>
        <v>19480</v>
      </c>
      <c r="AA49" s="492">
        <f>V49+Z49</f>
        <v>0</v>
      </c>
      <c r="AB49" s="494">
        <f>ROUND((V49+Z49)*33.8%,0)</f>
        <v>0</v>
      </c>
      <c r="AC49" s="494">
        <f>ROUND(V49*1%,0)</f>
        <v>-195</v>
      </c>
      <c r="AD49" s="492">
        <v>0</v>
      </c>
      <c r="AE49" s="753">
        <f t="shared" ref="AE49:AE51" si="43">AA49+AB49+AC49+AD49</f>
        <v>-195</v>
      </c>
      <c r="AF49" s="813">
        <v>0</v>
      </c>
      <c r="AG49" s="729">
        <v>0</v>
      </c>
      <c r="AH49" s="728">
        <v>0</v>
      </c>
      <c r="AI49" s="728">
        <v>0</v>
      </c>
      <c r="AJ49" s="326">
        <v>0</v>
      </c>
      <c r="AK49" s="326">
        <v>0</v>
      </c>
      <c r="AL49" s="609">
        <f>SUM(AF49:AK49)</f>
        <v>0</v>
      </c>
      <c r="AM49" s="676">
        <f>I49+AE49</f>
        <v>6163750</v>
      </c>
      <c r="AN49" s="492">
        <f>J49+V49</f>
        <v>4524176</v>
      </c>
      <c r="AO49" s="573">
        <f>K49+Z49</f>
        <v>48700</v>
      </c>
      <c r="AP49" s="492">
        <f t="shared" ref="AP49:AR51" si="44">L49+AB49</f>
        <v>1545632</v>
      </c>
      <c r="AQ49" s="492">
        <f t="shared" si="44"/>
        <v>45242</v>
      </c>
      <c r="AR49" s="492">
        <f t="shared" si="44"/>
        <v>0</v>
      </c>
      <c r="AS49" s="609">
        <f>O49+AL49</f>
        <v>6.3536999999999999</v>
      </c>
    </row>
    <row r="50" spans="1:45" ht="12.95" customHeight="1" x14ac:dyDescent="0.25">
      <c r="A50" s="205">
        <v>12</v>
      </c>
      <c r="B50" s="143">
        <v>5481</v>
      </c>
      <c r="C50" s="143">
        <v>600099075</v>
      </c>
      <c r="D50" s="143">
        <v>72742739</v>
      </c>
      <c r="E50" s="142" t="s">
        <v>457</v>
      </c>
      <c r="F50" s="143">
        <v>3117</v>
      </c>
      <c r="G50" s="248" t="s">
        <v>278</v>
      </c>
      <c r="H50" s="210" t="s">
        <v>263</v>
      </c>
      <c r="I50" s="580">
        <v>1043290</v>
      </c>
      <c r="J50" s="490">
        <v>773954</v>
      </c>
      <c r="K50" s="490">
        <v>0</v>
      </c>
      <c r="L50" s="55">
        <v>261596</v>
      </c>
      <c r="M50" s="55">
        <v>7740</v>
      </c>
      <c r="N50" s="490">
        <v>0</v>
      </c>
      <c r="O50" s="719">
        <v>1.9</v>
      </c>
      <c r="P50" s="327">
        <f>W50*-1</f>
        <v>0</v>
      </c>
      <c r="Q50" s="573">
        <v>67064</v>
      </c>
      <c r="R50" s="325">
        <v>0</v>
      </c>
      <c r="S50" s="325">
        <v>0</v>
      </c>
      <c r="T50" s="325">
        <v>0</v>
      </c>
      <c r="U50" s="325">
        <v>0</v>
      </c>
      <c r="V50" s="492">
        <f>P50+Q50+R50+S50+T50+U50</f>
        <v>67064</v>
      </c>
      <c r="W50" s="325">
        <v>0</v>
      </c>
      <c r="X50" s="325">
        <v>0</v>
      </c>
      <c r="Y50" s="325">
        <v>0</v>
      </c>
      <c r="Z50" s="492">
        <f>W50+X50+Y50</f>
        <v>0</v>
      </c>
      <c r="AA50" s="492">
        <f>V50+Z50</f>
        <v>67064</v>
      </c>
      <c r="AB50" s="494">
        <f>ROUND((V50+Z50)*33.8%,0)</f>
        <v>22668</v>
      </c>
      <c r="AC50" s="494">
        <f>ROUND(V50*1%,0)</f>
        <v>671</v>
      </c>
      <c r="AD50" s="492">
        <v>0</v>
      </c>
      <c r="AE50" s="753">
        <f t="shared" si="43"/>
        <v>90403</v>
      </c>
      <c r="AF50" s="813">
        <v>0</v>
      </c>
      <c r="AG50" s="729">
        <v>0.17</v>
      </c>
      <c r="AH50" s="728">
        <v>0</v>
      </c>
      <c r="AI50" s="728">
        <v>0</v>
      </c>
      <c r="AJ50" s="326">
        <v>0</v>
      </c>
      <c r="AK50" s="326">
        <v>0</v>
      </c>
      <c r="AL50" s="609">
        <f>SUM(AF50:AK50)</f>
        <v>0.17</v>
      </c>
      <c r="AM50" s="676">
        <f>I50+AE50</f>
        <v>1133693</v>
      </c>
      <c r="AN50" s="492">
        <f>J50+V50</f>
        <v>841018</v>
      </c>
      <c r="AO50" s="573">
        <f>K50+Z50</f>
        <v>0</v>
      </c>
      <c r="AP50" s="492">
        <f t="shared" si="44"/>
        <v>284264</v>
      </c>
      <c r="AQ50" s="492">
        <f t="shared" si="44"/>
        <v>8411</v>
      </c>
      <c r="AR50" s="492">
        <f t="shared" si="44"/>
        <v>0</v>
      </c>
      <c r="AS50" s="609">
        <f>O50+AL50</f>
        <v>2.0699999999999998</v>
      </c>
    </row>
    <row r="51" spans="1:45" ht="12.95" customHeight="1" x14ac:dyDescent="0.25">
      <c r="A51" s="205">
        <v>12</v>
      </c>
      <c r="B51" s="143">
        <v>5481</v>
      </c>
      <c r="C51" s="143">
        <v>600099075</v>
      </c>
      <c r="D51" s="143">
        <v>72742739</v>
      </c>
      <c r="E51" s="142" t="s">
        <v>457</v>
      </c>
      <c r="F51" s="143">
        <v>3143</v>
      </c>
      <c r="G51" s="248" t="s">
        <v>794</v>
      </c>
      <c r="H51" s="210" t="s">
        <v>262</v>
      </c>
      <c r="I51" s="580">
        <v>1124763</v>
      </c>
      <c r="J51" s="490">
        <v>819505</v>
      </c>
      <c r="K51" s="490">
        <v>15000</v>
      </c>
      <c r="L51" s="55">
        <v>282063</v>
      </c>
      <c r="M51" s="55">
        <v>8195</v>
      </c>
      <c r="N51" s="490">
        <v>0</v>
      </c>
      <c r="O51" s="719">
        <v>1.5</v>
      </c>
      <c r="P51" s="327">
        <f>W51*-1</f>
        <v>-10000</v>
      </c>
      <c r="Q51" s="573">
        <v>0</v>
      </c>
      <c r="R51" s="325">
        <v>0</v>
      </c>
      <c r="S51" s="325">
        <v>0</v>
      </c>
      <c r="T51" s="325">
        <v>0</v>
      </c>
      <c r="U51" s="325">
        <v>0</v>
      </c>
      <c r="V51" s="492">
        <f>P51+Q51+R51+S51+T51+U51</f>
        <v>-10000</v>
      </c>
      <c r="W51" s="325">
        <v>10000</v>
      </c>
      <c r="X51" s="325">
        <v>0</v>
      </c>
      <c r="Y51" s="325">
        <v>0</v>
      </c>
      <c r="Z51" s="492">
        <f>W51+X51+Y51</f>
        <v>10000</v>
      </c>
      <c r="AA51" s="492">
        <f>V51+Z51</f>
        <v>0</v>
      </c>
      <c r="AB51" s="494">
        <f>ROUND((V51+Z51)*33.8%,0)</f>
        <v>0</v>
      </c>
      <c r="AC51" s="494">
        <f>ROUND(V51*1%,0)</f>
        <v>-100</v>
      </c>
      <c r="AD51" s="492">
        <v>0</v>
      </c>
      <c r="AE51" s="753">
        <f t="shared" si="43"/>
        <v>-100</v>
      </c>
      <c r="AF51" s="813">
        <v>0</v>
      </c>
      <c r="AG51" s="729">
        <v>0</v>
      </c>
      <c r="AH51" s="728">
        <v>0</v>
      </c>
      <c r="AI51" s="728">
        <v>0</v>
      </c>
      <c r="AJ51" s="326">
        <v>0</v>
      </c>
      <c r="AK51" s="326">
        <v>0</v>
      </c>
      <c r="AL51" s="609">
        <f>SUM(AF51:AK51)</f>
        <v>0</v>
      </c>
      <c r="AM51" s="676">
        <f>I51+AE51</f>
        <v>1124663</v>
      </c>
      <c r="AN51" s="492">
        <f>J51+V51</f>
        <v>809505</v>
      </c>
      <c r="AO51" s="573">
        <f>K51+Z51</f>
        <v>25000</v>
      </c>
      <c r="AP51" s="492">
        <f t="shared" si="44"/>
        <v>282063</v>
      </c>
      <c r="AQ51" s="492">
        <f t="shared" si="44"/>
        <v>8095</v>
      </c>
      <c r="AR51" s="492">
        <f t="shared" si="44"/>
        <v>0</v>
      </c>
      <c r="AS51" s="609">
        <f>O51+AL51</f>
        <v>1.5</v>
      </c>
    </row>
    <row r="52" spans="1:45" ht="12.95" customHeight="1" x14ac:dyDescent="0.25">
      <c r="A52" s="144">
        <v>12</v>
      </c>
      <c r="B52" s="41">
        <v>5481</v>
      </c>
      <c r="C52" s="41">
        <v>600099075</v>
      </c>
      <c r="D52" s="41">
        <v>72742739</v>
      </c>
      <c r="E52" s="297" t="s">
        <v>458</v>
      </c>
      <c r="F52" s="41"/>
      <c r="G52" s="297"/>
      <c r="H52" s="128"/>
      <c r="I52" s="651">
        <v>8331998</v>
      </c>
      <c r="J52" s="569">
        <v>6137115</v>
      </c>
      <c r="K52" s="569">
        <v>44220</v>
      </c>
      <c r="L52" s="361">
        <v>2089291</v>
      </c>
      <c r="M52" s="361">
        <v>61372</v>
      </c>
      <c r="N52" s="569">
        <v>0</v>
      </c>
      <c r="O52" s="739">
        <v>9.7537000000000003</v>
      </c>
      <c r="P52" s="656">
        <f t="shared" ref="P52:AS52" si="45">SUM(P49:P51)</f>
        <v>-29480</v>
      </c>
      <c r="Q52" s="468">
        <f t="shared" si="45"/>
        <v>67064</v>
      </c>
      <c r="R52" s="361">
        <f t="shared" si="45"/>
        <v>0</v>
      </c>
      <c r="S52" s="361">
        <f t="shared" si="45"/>
        <v>0</v>
      </c>
      <c r="T52" s="361">
        <f t="shared" si="45"/>
        <v>0</v>
      </c>
      <c r="U52" s="361">
        <f t="shared" si="45"/>
        <v>0</v>
      </c>
      <c r="V52" s="361">
        <f t="shared" si="45"/>
        <v>37584</v>
      </c>
      <c r="W52" s="361">
        <f t="shared" si="45"/>
        <v>29480</v>
      </c>
      <c r="X52" s="361">
        <f t="shared" si="45"/>
        <v>0</v>
      </c>
      <c r="Y52" s="361">
        <f t="shared" si="45"/>
        <v>0</v>
      </c>
      <c r="Z52" s="361">
        <f t="shared" si="45"/>
        <v>29480</v>
      </c>
      <c r="AA52" s="361">
        <f t="shared" si="45"/>
        <v>67064</v>
      </c>
      <c r="AB52" s="361">
        <f t="shared" si="45"/>
        <v>22668</v>
      </c>
      <c r="AC52" s="361">
        <f t="shared" si="45"/>
        <v>376</v>
      </c>
      <c r="AD52" s="361">
        <f t="shared" si="45"/>
        <v>0</v>
      </c>
      <c r="AE52" s="810">
        <f t="shared" si="45"/>
        <v>90108</v>
      </c>
      <c r="AF52" s="817">
        <f t="shared" si="45"/>
        <v>0</v>
      </c>
      <c r="AG52" s="740">
        <f t="shared" si="45"/>
        <v>0.17</v>
      </c>
      <c r="AH52" s="740">
        <f t="shared" si="45"/>
        <v>0</v>
      </c>
      <c r="AI52" s="740">
        <f t="shared" si="45"/>
        <v>0</v>
      </c>
      <c r="AJ52" s="362">
        <f t="shared" si="45"/>
        <v>0</v>
      </c>
      <c r="AK52" s="362">
        <f t="shared" si="45"/>
        <v>0</v>
      </c>
      <c r="AL52" s="276">
        <f t="shared" si="45"/>
        <v>0.17</v>
      </c>
      <c r="AM52" s="656">
        <f t="shared" si="45"/>
        <v>8422106</v>
      </c>
      <c r="AN52" s="468">
        <f t="shared" si="45"/>
        <v>6174699</v>
      </c>
      <c r="AO52" s="361">
        <f t="shared" si="45"/>
        <v>73700</v>
      </c>
      <c r="AP52" s="361">
        <f t="shared" si="45"/>
        <v>2111959</v>
      </c>
      <c r="AQ52" s="361">
        <f t="shared" si="45"/>
        <v>61748</v>
      </c>
      <c r="AR52" s="361">
        <f t="shared" si="45"/>
        <v>0</v>
      </c>
      <c r="AS52" s="276">
        <f t="shared" si="45"/>
        <v>9.9237000000000002</v>
      </c>
    </row>
    <row r="53" spans="1:45" ht="12.95" customHeight="1" x14ac:dyDescent="0.25">
      <c r="A53" s="205">
        <v>13</v>
      </c>
      <c r="B53" s="143">
        <v>5492</v>
      </c>
      <c r="C53" s="143">
        <v>691007322</v>
      </c>
      <c r="D53" s="143">
        <v>71294180</v>
      </c>
      <c r="E53" s="142" t="s">
        <v>459</v>
      </c>
      <c r="F53" s="143">
        <v>3114</v>
      </c>
      <c r="G53" s="256" t="s">
        <v>511</v>
      </c>
      <c r="H53" s="210" t="s">
        <v>262</v>
      </c>
      <c r="I53" s="580">
        <v>14023692</v>
      </c>
      <c r="J53" s="490">
        <v>10403332</v>
      </c>
      <c r="K53" s="490">
        <v>0</v>
      </c>
      <c r="L53" s="55">
        <v>3516327</v>
      </c>
      <c r="M53" s="55">
        <v>104033</v>
      </c>
      <c r="N53" s="490">
        <v>0</v>
      </c>
      <c r="O53" s="719">
        <v>13.090999999999999</v>
      </c>
      <c r="P53" s="552">
        <f>W53*-1</f>
        <v>0</v>
      </c>
      <c r="Q53" s="573">
        <v>0</v>
      </c>
      <c r="R53" s="325">
        <v>0</v>
      </c>
      <c r="S53" s="325">
        <v>0</v>
      </c>
      <c r="T53" s="325">
        <v>0</v>
      </c>
      <c r="U53" s="325">
        <v>0</v>
      </c>
      <c r="V53" s="492">
        <f>P53+Q53+R53+S53+T53+U53</f>
        <v>0</v>
      </c>
      <c r="W53" s="325">
        <v>0</v>
      </c>
      <c r="X53" s="325">
        <v>0</v>
      </c>
      <c r="Y53" s="325">
        <v>0</v>
      </c>
      <c r="Z53" s="492">
        <f>W53+X53+Y53</f>
        <v>0</v>
      </c>
      <c r="AA53" s="492">
        <f>V53+Z53</f>
        <v>0</v>
      </c>
      <c r="AB53" s="494">
        <f>ROUND((V53+Z53)*33.8%,0)</f>
        <v>0</v>
      </c>
      <c r="AC53" s="494">
        <f>ROUND(V53*1%,0)</f>
        <v>0</v>
      </c>
      <c r="AD53" s="492">
        <v>0</v>
      </c>
      <c r="AE53" s="753">
        <f t="shared" ref="AE53:AE55" si="46">AA53+AB53+AC53+AD53</f>
        <v>0</v>
      </c>
      <c r="AF53" s="813">
        <v>0</v>
      </c>
      <c r="AG53" s="729">
        <v>0</v>
      </c>
      <c r="AH53" s="728">
        <v>0</v>
      </c>
      <c r="AI53" s="728">
        <v>0</v>
      </c>
      <c r="AJ53" s="326">
        <v>0</v>
      </c>
      <c r="AK53" s="326">
        <v>0</v>
      </c>
      <c r="AL53" s="609">
        <f>SUM(AF53:AK53)</f>
        <v>0</v>
      </c>
      <c r="AM53" s="676">
        <f>I53+AE53</f>
        <v>14023692</v>
      </c>
      <c r="AN53" s="492">
        <f>J53+V53</f>
        <v>10403332</v>
      </c>
      <c r="AO53" s="573">
        <f>K53+Z53</f>
        <v>0</v>
      </c>
      <c r="AP53" s="492">
        <f t="shared" ref="AP53:AR55" si="47">L53+AB53</f>
        <v>3516327</v>
      </c>
      <c r="AQ53" s="492">
        <f t="shared" si="47"/>
        <v>104033</v>
      </c>
      <c r="AR53" s="492">
        <f t="shared" si="47"/>
        <v>0</v>
      </c>
      <c r="AS53" s="609">
        <f>O53+AL53</f>
        <v>13.090999999999999</v>
      </c>
    </row>
    <row r="54" spans="1:45" ht="12.95" customHeight="1" x14ac:dyDescent="0.25">
      <c r="A54" s="205">
        <v>13</v>
      </c>
      <c r="B54" s="143">
        <v>5492</v>
      </c>
      <c r="C54" s="143">
        <v>691007322</v>
      </c>
      <c r="D54" s="143">
        <v>71294180</v>
      </c>
      <c r="E54" s="142" t="s">
        <v>459</v>
      </c>
      <c r="F54" s="143">
        <v>3114</v>
      </c>
      <c r="G54" s="256" t="s">
        <v>279</v>
      </c>
      <c r="H54" s="210" t="s">
        <v>262</v>
      </c>
      <c r="I54" s="580">
        <v>2528749</v>
      </c>
      <c r="J54" s="490">
        <v>1875927</v>
      </c>
      <c r="K54" s="490">
        <v>0</v>
      </c>
      <c r="L54" s="55">
        <v>634063</v>
      </c>
      <c r="M54" s="55">
        <v>18759</v>
      </c>
      <c r="N54" s="490">
        <v>0</v>
      </c>
      <c r="O54" s="719">
        <v>4.1668000000000003</v>
      </c>
      <c r="P54" s="327">
        <f>W54*-1</f>
        <v>0</v>
      </c>
      <c r="Q54" s="573">
        <v>0</v>
      </c>
      <c r="R54" s="325">
        <v>0</v>
      </c>
      <c r="S54" s="325">
        <v>-58376</v>
      </c>
      <c r="T54" s="325">
        <v>0</v>
      </c>
      <c r="U54" s="325">
        <v>0</v>
      </c>
      <c r="V54" s="492">
        <f>P54+Q54+R54+S54+T54+U54</f>
        <v>-58376</v>
      </c>
      <c r="W54" s="325">
        <v>0</v>
      </c>
      <c r="X54" s="325">
        <v>0</v>
      </c>
      <c r="Y54" s="325">
        <v>0</v>
      </c>
      <c r="Z54" s="492">
        <f>W54+X54+Y54</f>
        <v>0</v>
      </c>
      <c r="AA54" s="492">
        <f>V54+Z54</f>
        <v>-58376</v>
      </c>
      <c r="AB54" s="494">
        <f>ROUND((V54+Z54)*33.8%,0)</f>
        <v>-19731</v>
      </c>
      <c r="AC54" s="494">
        <f>ROUND(V54*1%,0)</f>
        <v>-584</v>
      </c>
      <c r="AD54" s="492">
        <v>0</v>
      </c>
      <c r="AE54" s="753">
        <f t="shared" si="46"/>
        <v>-78691</v>
      </c>
      <c r="AF54" s="813">
        <v>0</v>
      </c>
      <c r="AG54" s="729">
        <v>0</v>
      </c>
      <c r="AH54" s="728">
        <v>-0.13</v>
      </c>
      <c r="AI54" s="728">
        <v>0</v>
      </c>
      <c r="AJ54" s="326">
        <v>0</v>
      </c>
      <c r="AK54" s="326">
        <v>0</v>
      </c>
      <c r="AL54" s="609">
        <f>SUM(AF54:AK54)</f>
        <v>-0.13</v>
      </c>
      <c r="AM54" s="676">
        <f>I54+AE54</f>
        <v>2450058</v>
      </c>
      <c r="AN54" s="492">
        <f>J54+V54</f>
        <v>1817551</v>
      </c>
      <c r="AO54" s="573">
        <f>K54+Z54</f>
        <v>0</v>
      </c>
      <c r="AP54" s="492">
        <f t="shared" si="47"/>
        <v>614332</v>
      </c>
      <c r="AQ54" s="492">
        <f t="shared" si="47"/>
        <v>18175</v>
      </c>
      <c r="AR54" s="492">
        <f t="shared" si="47"/>
        <v>0</v>
      </c>
      <c r="AS54" s="609">
        <f>O54+AL54</f>
        <v>4.0368000000000004</v>
      </c>
    </row>
    <row r="55" spans="1:45" ht="12.95" customHeight="1" x14ac:dyDescent="0.25">
      <c r="A55" s="205">
        <v>13</v>
      </c>
      <c r="B55" s="143">
        <v>5492</v>
      </c>
      <c r="C55" s="143">
        <v>691007322</v>
      </c>
      <c r="D55" s="143">
        <v>71294180</v>
      </c>
      <c r="E55" s="295" t="s">
        <v>459</v>
      </c>
      <c r="F55" s="143">
        <v>3143</v>
      </c>
      <c r="G55" s="248" t="s">
        <v>795</v>
      </c>
      <c r="H55" s="210" t="s">
        <v>262</v>
      </c>
      <c r="I55" s="580">
        <v>1025518</v>
      </c>
      <c r="J55" s="490">
        <v>760770</v>
      </c>
      <c r="K55" s="490">
        <v>0</v>
      </c>
      <c r="L55" s="55">
        <v>257140</v>
      </c>
      <c r="M55" s="55">
        <v>7608</v>
      </c>
      <c r="N55" s="490">
        <v>0</v>
      </c>
      <c r="O55" s="719">
        <v>1.4664999999999999</v>
      </c>
      <c r="P55" s="327">
        <f>W55*-1</f>
        <v>0</v>
      </c>
      <c r="Q55" s="573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>P55+Q55+R55+S55+T55+U55</f>
        <v>0</v>
      </c>
      <c r="W55" s="325">
        <v>0</v>
      </c>
      <c r="X55" s="325">
        <v>0</v>
      </c>
      <c r="Y55" s="325">
        <v>0</v>
      </c>
      <c r="Z55" s="492">
        <f>W55+X55+Y55</f>
        <v>0</v>
      </c>
      <c r="AA55" s="492">
        <f>V55+Z55</f>
        <v>0</v>
      </c>
      <c r="AB55" s="494">
        <f>ROUND((V55+Z55)*33.8%,0)</f>
        <v>0</v>
      </c>
      <c r="AC55" s="494">
        <f>ROUND(V55*1%,0)</f>
        <v>0</v>
      </c>
      <c r="AD55" s="492">
        <v>0</v>
      </c>
      <c r="AE55" s="753">
        <f t="shared" si="46"/>
        <v>0</v>
      </c>
      <c r="AF55" s="813">
        <v>0</v>
      </c>
      <c r="AG55" s="729">
        <v>0</v>
      </c>
      <c r="AH55" s="728">
        <v>0</v>
      </c>
      <c r="AI55" s="728">
        <v>0</v>
      </c>
      <c r="AJ55" s="326">
        <v>0</v>
      </c>
      <c r="AK55" s="326">
        <v>0</v>
      </c>
      <c r="AL55" s="609">
        <f>SUM(AF55:AK55)</f>
        <v>0</v>
      </c>
      <c r="AM55" s="676">
        <f>I55+AE55</f>
        <v>1025518</v>
      </c>
      <c r="AN55" s="492">
        <f>J55+V55</f>
        <v>760770</v>
      </c>
      <c r="AO55" s="573">
        <f>K55+Z55</f>
        <v>0</v>
      </c>
      <c r="AP55" s="492">
        <f t="shared" si="47"/>
        <v>257140</v>
      </c>
      <c r="AQ55" s="492">
        <f t="shared" si="47"/>
        <v>7608</v>
      </c>
      <c r="AR55" s="492">
        <f t="shared" si="47"/>
        <v>0</v>
      </c>
      <c r="AS55" s="609">
        <f>O55+AL55</f>
        <v>1.4664999999999999</v>
      </c>
    </row>
    <row r="56" spans="1:45" ht="12.95" customHeight="1" x14ac:dyDescent="0.25">
      <c r="A56" s="144">
        <v>13</v>
      </c>
      <c r="B56" s="41">
        <v>5492</v>
      </c>
      <c r="C56" s="41">
        <v>691007322</v>
      </c>
      <c r="D56" s="41">
        <v>71294180</v>
      </c>
      <c r="E56" s="297" t="s">
        <v>460</v>
      </c>
      <c r="F56" s="41"/>
      <c r="G56" s="297"/>
      <c r="H56" s="128"/>
      <c r="I56" s="651">
        <v>17577959</v>
      </c>
      <c r="J56" s="569">
        <v>13040029</v>
      </c>
      <c r="K56" s="569">
        <v>0</v>
      </c>
      <c r="L56" s="361">
        <v>4407530</v>
      </c>
      <c r="M56" s="361">
        <v>130400</v>
      </c>
      <c r="N56" s="569">
        <v>0</v>
      </c>
      <c r="O56" s="739">
        <v>18.724299999999999</v>
      </c>
      <c r="P56" s="656">
        <f t="shared" ref="P56:AS56" si="48">SUM(P53:P55)</f>
        <v>0</v>
      </c>
      <c r="Q56" s="468">
        <f t="shared" si="48"/>
        <v>0</v>
      </c>
      <c r="R56" s="361">
        <f t="shared" si="48"/>
        <v>0</v>
      </c>
      <c r="S56" s="361">
        <f t="shared" si="48"/>
        <v>-58376</v>
      </c>
      <c r="T56" s="361">
        <f t="shared" si="48"/>
        <v>0</v>
      </c>
      <c r="U56" s="361">
        <f t="shared" si="48"/>
        <v>0</v>
      </c>
      <c r="V56" s="361">
        <f t="shared" si="48"/>
        <v>-58376</v>
      </c>
      <c r="W56" s="361">
        <f t="shared" si="48"/>
        <v>0</v>
      </c>
      <c r="X56" s="361">
        <f t="shared" si="48"/>
        <v>0</v>
      </c>
      <c r="Y56" s="361">
        <f t="shared" si="48"/>
        <v>0</v>
      </c>
      <c r="Z56" s="361">
        <f t="shared" si="48"/>
        <v>0</v>
      </c>
      <c r="AA56" s="361">
        <f t="shared" si="48"/>
        <v>-58376</v>
      </c>
      <c r="AB56" s="361">
        <f t="shared" si="48"/>
        <v>-19731</v>
      </c>
      <c r="AC56" s="361">
        <f t="shared" si="48"/>
        <v>-584</v>
      </c>
      <c r="AD56" s="361">
        <f t="shared" si="48"/>
        <v>0</v>
      </c>
      <c r="AE56" s="810">
        <f t="shared" si="48"/>
        <v>-78691</v>
      </c>
      <c r="AF56" s="817">
        <f t="shared" si="48"/>
        <v>0</v>
      </c>
      <c r="AG56" s="740">
        <f t="shared" si="48"/>
        <v>0</v>
      </c>
      <c r="AH56" s="740">
        <f t="shared" si="48"/>
        <v>-0.13</v>
      </c>
      <c r="AI56" s="740">
        <f t="shared" si="48"/>
        <v>0</v>
      </c>
      <c r="AJ56" s="362">
        <f t="shared" si="48"/>
        <v>0</v>
      </c>
      <c r="AK56" s="362">
        <f t="shared" si="48"/>
        <v>0</v>
      </c>
      <c r="AL56" s="276">
        <f t="shared" si="48"/>
        <v>-0.13</v>
      </c>
      <c r="AM56" s="656">
        <f t="shared" si="48"/>
        <v>17499268</v>
      </c>
      <c r="AN56" s="468">
        <f t="shared" si="48"/>
        <v>12981653</v>
      </c>
      <c r="AO56" s="361">
        <f t="shared" si="48"/>
        <v>0</v>
      </c>
      <c r="AP56" s="361">
        <f t="shared" si="48"/>
        <v>4387799</v>
      </c>
      <c r="AQ56" s="361">
        <f t="shared" si="48"/>
        <v>129816</v>
      </c>
      <c r="AR56" s="361">
        <f t="shared" si="48"/>
        <v>0</v>
      </c>
      <c r="AS56" s="276">
        <f t="shared" si="48"/>
        <v>18.5943</v>
      </c>
    </row>
    <row r="57" spans="1:45" ht="12.95" customHeight="1" x14ac:dyDescent="0.25">
      <c r="A57" s="205">
        <v>14</v>
      </c>
      <c r="B57" s="143">
        <v>5457</v>
      </c>
      <c r="C57" s="143">
        <v>600099377</v>
      </c>
      <c r="D57" s="143">
        <v>855049</v>
      </c>
      <c r="E57" s="295" t="s">
        <v>461</v>
      </c>
      <c r="F57" s="143">
        <v>3113</v>
      </c>
      <c r="G57" s="295" t="s">
        <v>294</v>
      </c>
      <c r="H57" s="210" t="s">
        <v>262</v>
      </c>
      <c r="I57" s="580">
        <v>41231681</v>
      </c>
      <c r="J57" s="490">
        <v>30557524</v>
      </c>
      <c r="K57" s="490">
        <v>30000</v>
      </c>
      <c r="L57" s="55">
        <v>10338582</v>
      </c>
      <c r="M57" s="55">
        <v>305575</v>
      </c>
      <c r="N57" s="490">
        <v>0</v>
      </c>
      <c r="O57" s="719">
        <v>40.845199999999998</v>
      </c>
      <c r="P57" s="552">
        <f t="shared" ref="P57:P61" si="49">W57*-1</f>
        <v>-20000</v>
      </c>
      <c r="Q57" s="573">
        <v>0</v>
      </c>
      <c r="R57" s="325">
        <v>0</v>
      </c>
      <c r="S57" s="325">
        <v>0</v>
      </c>
      <c r="T57" s="325">
        <v>0</v>
      </c>
      <c r="U57" s="325">
        <v>0</v>
      </c>
      <c r="V57" s="492">
        <f>P57+Q57+R57+S57+T57+U57</f>
        <v>-20000</v>
      </c>
      <c r="W57" s="325">
        <v>20000</v>
      </c>
      <c r="X57" s="325">
        <v>0</v>
      </c>
      <c r="Y57" s="325">
        <v>0</v>
      </c>
      <c r="Z57" s="492">
        <f>W57+X57+Y57</f>
        <v>20000</v>
      </c>
      <c r="AA57" s="492">
        <f>V57+Z57</f>
        <v>0</v>
      </c>
      <c r="AB57" s="494">
        <f>ROUND((V57+Z57)*33.8%,0)</f>
        <v>0</v>
      </c>
      <c r="AC57" s="494">
        <f>ROUND(V57*1%,0)</f>
        <v>-200</v>
      </c>
      <c r="AD57" s="492">
        <v>0</v>
      </c>
      <c r="AE57" s="753">
        <f t="shared" ref="AE57:AE61" si="50">AA57+AB57+AC57+AD57</f>
        <v>-200</v>
      </c>
      <c r="AF57" s="813">
        <v>0</v>
      </c>
      <c r="AG57" s="729">
        <v>0</v>
      </c>
      <c r="AH57" s="728">
        <v>0</v>
      </c>
      <c r="AI57" s="728">
        <v>0</v>
      </c>
      <c r="AJ57" s="326">
        <v>0</v>
      </c>
      <c r="AK57" s="326">
        <v>0</v>
      </c>
      <c r="AL57" s="609">
        <f>SUM(AF57:AK57)</f>
        <v>0</v>
      </c>
      <c r="AM57" s="676">
        <f>I57+AE57</f>
        <v>41231481</v>
      </c>
      <c r="AN57" s="492">
        <f>J57+V57</f>
        <v>30537524</v>
      </c>
      <c r="AO57" s="573">
        <f>K57+Z57</f>
        <v>50000</v>
      </c>
      <c r="AP57" s="492">
        <f t="shared" ref="AP57:AR61" si="51">L57+AB57</f>
        <v>10338582</v>
      </c>
      <c r="AQ57" s="492">
        <f t="shared" si="51"/>
        <v>305375</v>
      </c>
      <c r="AR57" s="492">
        <f t="shared" si="51"/>
        <v>0</v>
      </c>
      <c r="AS57" s="609">
        <f>O57+AL57</f>
        <v>40.845199999999998</v>
      </c>
    </row>
    <row r="58" spans="1:45" ht="12.95" customHeight="1" x14ac:dyDescent="0.25">
      <c r="A58" s="704">
        <v>14</v>
      </c>
      <c r="B58" s="736">
        <v>5457</v>
      </c>
      <c r="C58" s="736">
        <v>600099377</v>
      </c>
      <c r="D58" s="736">
        <v>855049</v>
      </c>
      <c r="E58" s="737" t="s">
        <v>461</v>
      </c>
      <c r="F58" s="736">
        <v>3113</v>
      </c>
      <c r="G58" s="737" t="s">
        <v>799</v>
      </c>
      <c r="H58" s="738" t="s">
        <v>262</v>
      </c>
      <c r="I58" s="580">
        <v>820026</v>
      </c>
      <c r="J58" s="490">
        <v>608328</v>
      </c>
      <c r="K58" s="490">
        <v>0</v>
      </c>
      <c r="L58" s="55">
        <v>205615</v>
      </c>
      <c r="M58" s="55">
        <v>6083</v>
      </c>
      <c r="N58" s="490">
        <v>0</v>
      </c>
      <c r="O58" s="719">
        <v>1</v>
      </c>
      <c r="P58" s="552">
        <f t="shared" si="49"/>
        <v>0</v>
      </c>
      <c r="Q58" s="573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 t="shared" ref="V58" si="52">P58+Q58+R58+S58+T58+U58</f>
        <v>0</v>
      </c>
      <c r="W58" s="325">
        <v>0</v>
      </c>
      <c r="X58" s="325">
        <v>0</v>
      </c>
      <c r="Y58" s="325">
        <v>0</v>
      </c>
      <c r="Z58" s="492">
        <f>W58+X58+Y58</f>
        <v>0</v>
      </c>
      <c r="AA58" s="492">
        <f>V58+Z58</f>
        <v>0</v>
      </c>
      <c r="AB58" s="494">
        <f>ROUND((V58+Z58)*33.8%,0)</f>
        <v>0</v>
      </c>
      <c r="AC58" s="494">
        <f>ROUND(V58*1%,0)</f>
        <v>0</v>
      </c>
      <c r="AD58" s="492">
        <v>0</v>
      </c>
      <c r="AE58" s="753">
        <f t="shared" si="50"/>
        <v>0</v>
      </c>
      <c r="AF58" s="813">
        <v>0</v>
      </c>
      <c r="AG58" s="729">
        <v>0</v>
      </c>
      <c r="AH58" s="728">
        <v>0</v>
      </c>
      <c r="AI58" s="728">
        <v>0</v>
      </c>
      <c r="AJ58" s="326">
        <v>0</v>
      </c>
      <c r="AK58" s="326">
        <v>0</v>
      </c>
      <c r="AL58" s="609">
        <f>SUM(AF58:AK58)</f>
        <v>0</v>
      </c>
      <c r="AM58" s="676">
        <f>I58+AE58</f>
        <v>820026</v>
      </c>
      <c r="AN58" s="492">
        <f>J58+V58</f>
        <v>608328</v>
      </c>
      <c r="AO58" s="573">
        <f>K58+Z58</f>
        <v>0</v>
      </c>
      <c r="AP58" s="492">
        <f t="shared" si="51"/>
        <v>205615</v>
      </c>
      <c r="AQ58" s="492">
        <f t="shared" si="51"/>
        <v>6083</v>
      </c>
      <c r="AR58" s="492">
        <f t="shared" si="51"/>
        <v>0</v>
      </c>
      <c r="AS58" s="609">
        <f>O58+AL58</f>
        <v>1</v>
      </c>
    </row>
    <row r="59" spans="1:45" ht="12.95" customHeight="1" x14ac:dyDescent="0.25">
      <c r="A59" s="205">
        <v>14</v>
      </c>
      <c r="B59" s="143">
        <v>5457</v>
      </c>
      <c r="C59" s="143">
        <v>600099377</v>
      </c>
      <c r="D59" s="143">
        <v>855049</v>
      </c>
      <c r="E59" s="142" t="s">
        <v>461</v>
      </c>
      <c r="F59" s="143">
        <v>3113</v>
      </c>
      <c r="G59" s="248" t="s">
        <v>278</v>
      </c>
      <c r="H59" s="210" t="s">
        <v>263</v>
      </c>
      <c r="I59" s="580">
        <v>4877064</v>
      </c>
      <c r="J59" s="490">
        <v>3612045</v>
      </c>
      <c r="K59" s="490">
        <v>6000</v>
      </c>
      <c r="L59" s="55">
        <v>1222899</v>
      </c>
      <c r="M59" s="55">
        <v>36120</v>
      </c>
      <c r="N59" s="490">
        <v>0</v>
      </c>
      <c r="O59" s="719">
        <v>9.07</v>
      </c>
      <c r="P59" s="327">
        <f t="shared" si="49"/>
        <v>-4000</v>
      </c>
      <c r="Q59" s="573">
        <v>0</v>
      </c>
      <c r="R59" s="325">
        <v>0</v>
      </c>
      <c r="S59" s="325">
        <v>0</v>
      </c>
      <c r="T59" s="325">
        <v>0</v>
      </c>
      <c r="U59" s="325">
        <v>0</v>
      </c>
      <c r="V59" s="492">
        <f>P59+Q59+R59+S59+T59+U59</f>
        <v>-4000</v>
      </c>
      <c r="W59" s="325">
        <v>4000</v>
      </c>
      <c r="X59" s="325">
        <v>0</v>
      </c>
      <c r="Y59" s="325">
        <v>0</v>
      </c>
      <c r="Z59" s="492">
        <f>W59+X59+Y59</f>
        <v>4000</v>
      </c>
      <c r="AA59" s="492">
        <f>V59+Z59</f>
        <v>0</v>
      </c>
      <c r="AB59" s="494">
        <f>ROUND((V59+Z59)*33.8%,0)</f>
        <v>0</v>
      </c>
      <c r="AC59" s="494">
        <f>ROUND(V59*1%,0)</f>
        <v>-40</v>
      </c>
      <c r="AD59" s="492">
        <v>0</v>
      </c>
      <c r="AE59" s="753">
        <f t="shared" si="50"/>
        <v>-40</v>
      </c>
      <c r="AF59" s="813">
        <v>0</v>
      </c>
      <c r="AG59" s="729">
        <v>0</v>
      </c>
      <c r="AH59" s="728">
        <v>0</v>
      </c>
      <c r="AI59" s="728">
        <v>0</v>
      </c>
      <c r="AJ59" s="326">
        <v>0</v>
      </c>
      <c r="AK59" s="326">
        <v>0</v>
      </c>
      <c r="AL59" s="609">
        <f>SUM(AF59:AK59)</f>
        <v>0</v>
      </c>
      <c r="AM59" s="676">
        <f>I59+AE59</f>
        <v>4877024</v>
      </c>
      <c r="AN59" s="492">
        <f>J59+V59</f>
        <v>3608045</v>
      </c>
      <c r="AO59" s="573">
        <f>K59+Z59</f>
        <v>10000</v>
      </c>
      <c r="AP59" s="492">
        <f t="shared" si="51"/>
        <v>1222899</v>
      </c>
      <c r="AQ59" s="492">
        <f t="shared" si="51"/>
        <v>36080</v>
      </c>
      <c r="AR59" s="492">
        <f t="shared" si="51"/>
        <v>0</v>
      </c>
      <c r="AS59" s="609">
        <f>O59+AL59</f>
        <v>9.07</v>
      </c>
    </row>
    <row r="60" spans="1:45" ht="12.95" customHeight="1" x14ac:dyDescent="0.25">
      <c r="A60" s="205">
        <v>14</v>
      </c>
      <c r="B60" s="143">
        <v>5457</v>
      </c>
      <c r="C60" s="143">
        <v>600099377</v>
      </c>
      <c r="D60" s="143">
        <v>855049</v>
      </c>
      <c r="E60" s="295" t="s">
        <v>461</v>
      </c>
      <c r="F60" s="143">
        <v>3143</v>
      </c>
      <c r="G60" s="248" t="s">
        <v>795</v>
      </c>
      <c r="H60" s="210" t="s">
        <v>262</v>
      </c>
      <c r="I60" s="580">
        <v>3998988</v>
      </c>
      <c r="J60" s="490">
        <v>2966608</v>
      </c>
      <c r="K60" s="490">
        <v>0</v>
      </c>
      <c r="L60" s="55">
        <v>1002714</v>
      </c>
      <c r="M60" s="55">
        <v>29666</v>
      </c>
      <c r="N60" s="490">
        <v>0</v>
      </c>
      <c r="O60" s="719">
        <v>5.3526999999999996</v>
      </c>
      <c r="P60" s="327">
        <f t="shared" si="49"/>
        <v>0</v>
      </c>
      <c r="Q60" s="573">
        <v>0</v>
      </c>
      <c r="R60" s="325">
        <v>0</v>
      </c>
      <c r="S60" s="325">
        <v>0</v>
      </c>
      <c r="T60" s="325">
        <v>0</v>
      </c>
      <c r="U60" s="325">
        <v>0</v>
      </c>
      <c r="V60" s="492">
        <f>P60+Q60+R60+S60+T60+U60</f>
        <v>0</v>
      </c>
      <c r="W60" s="325">
        <v>0</v>
      </c>
      <c r="X60" s="325">
        <v>0</v>
      </c>
      <c r="Y60" s="325">
        <v>0</v>
      </c>
      <c r="Z60" s="492">
        <f>W60+X60+Y60</f>
        <v>0</v>
      </c>
      <c r="AA60" s="492">
        <f>V60+Z60</f>
        <v>0</v>
      </c>
      <c r="AB60" s="494">
        <f>ROUND((V60+Z60)*33.8%,0)</f>
        <v>0</v>
      </c>
      <c r="AC60" s="494">
        <f>ROUND(V60*1%,0)</f>
        <v>0</v>
      </c>
      <c r="AD60" s="492">
        <v>0</v>
      </c>
      <c r="AE60" s="753">
        <f t="shared" si="50"/>
        <v>0</v>
      </c>
      <c r="AF60" s="813">
        <v>0</v>
      </c>
      <c r="AG60" s="729">
        <v>0</v>
      </c>
      <c r="AH60" s="728">
        <v>0</v>
      </c>
      <c r="AI60" s="728">
        <v>0</v>
      </c>
      <c r="AJ60" s="326">
        <v>0</v>
      </c>
      <c r="AK60" s="326">
        <v>0</v>
      </c>
      <c r="AL60" s="609">
        <f>SUM(AF60:AK60)</f>
        <v>0</v>
      </c>
      <c r="AM60" s="676">
        <f>I60+AE60</f>
        <v>3998988</v>
      </c>
      <c r="AN60" s="492">
        <f>J60+V60</f>
        <v>2966608</v>
      </c>
      <c r="AO60" s="573">
        <f>K60+Z60</f>
        <v>0</v>
      </c>
      <c r="AP60" s="492">
        <f t="shared" si="51"/>
        <v>1002714</v>
      </c>
      <c r="AQ60" s="492">
        <f t="shared" si="51"/>
        <v>29666</v>
      </c>
      <c r="AR60" s="492">
        <f t="shared" si="51"/>
        <v>0</v>
      </c>
      <c r="AS60" s="609">
        <f>O60+AL60</f>
        <v>5.3526999999999996</v>
      </c>
    </row>
    <row r="61" spans="1:45" ht="12.95" customHeight="1" x14ac:dyDescent="0.25">
      <c r="A61" s="205">
        <v>14</v>
      </c>
      <c r="B61" s="143">
        <v>5457</v>
      </c>
      <c r="C61" s="143">
        <v>600099377</v>
      </c>
      <c r="D61" s="143">
        <v>855049</v>
      </c>
      <c r="E61" s="142" t="s">
        <v>461</v>
      </c>
      <c r="F61" s="143">
        <v>3143</v>
      </c>
      <c r="G61" s="248" t="s">
        <v>282</v>
      </c>
      <c r="H61" s="210" t="s">
        <v>263</v>
      </c>
      <c r="I61" s="580">
        <v>727699</v>
      </c>
      <c r="J61" s="490">
        <v>539836</v>
      </c>
      <c r="K61" s="490">
        <v>0</v>
      </c>
      <c r="L61" s="55">
        <v>182465</v>
      </c>
      <c r="M61" s="55">
        <v>5398</v>
      </c>
      <c r="N61" s="490">
        <v>0</v>
      </c>
      <c r="O61" s="719">
        <v>1</v>
      </c>
      <c r="P61" s="327">
        <f t="shared" si="49"/>
        <v>0</v>
      </c>
      <c r="Q61" s="573">
        <v>0</v>
      </c>
      <c r="R61" s="325">
        <v>0</v>
      </c>
      <c r="S61" s="325">
        <v>0</v>
      </c>
      <c r="T61" s="325">
        <v>0</v>
      </c>
      <c r="U61" s="325">
        <v>0</v>
      </c>
      <c r="V61" s="492">
        <f>P61+Q61+R61+S61+T61+U61</f>
        <v>0</v>
      </c>
      <c r="W61" s="325">
        <v>0</v>
      </c>
      <c r="X61" s="325">
        <v>0</v>
      </c>
      <c r="Y61" s="325">
        <v>0</v>
      </c>
      <c r="Z61" s="492">
        <f>W61+X61+Y61</f>
        <v>0</v>
      </c>
      <c r="AA61" s="492">
        <f>V61+Z61</f>
        <v>0</v>
      </c>
      <c r="AB61" s="494">
        <f>ROUND((V61+Z61)*33.8%,0)</f>
        <v>0</v>
      </c>
      <c r="AC61" s="494">
        <f>ROUND(V61*1%,0)</f>
        <v>0</v>
      </c>
      <c r="AD61" s="492">
        <v>0</v>
      </c>
      <c r="AE61" s="753">
        <f t="shared" si="50"/>
        <v>0</v>
      </c>
      <c r="AF61" s="813">
        <v>0</v>
      </c>
      <c r="AG61" s="729">
        <v>0</v>
      </c>
      <c r="AH61" s="728">
        <v>0</v>
      </c>
      <c r="AI61" s="728">
        <v>0</v>
      </c>
      <c r="AJ61" s="326">
        <v>0</v>
      </c>
      <c r="AK61" s="326">
        <v>0</v>
      </c>
      <c r="AL61" s="609">
        <f>SUM(AF61:AK61)</f>
        <v>0</v>
      </c>
      <c r="AM61" s="676">
        <f>I61+AE61</f>
        <v>727699</v>
      </c>
      <c r="AN61" s="492">
        <f>J61+V61</f>
        <v>539836</v>
      </c>
      <c r="AO61" s="573">
        <f>K61+Z61</f>
        <v>0</v>
      </c>
      <c r="AP61" s="492">
        <f t="shared" si="51"/>
        <v>182465</v>
      </c>
      <c r="AQ61" s="492">
        <f t="shared" si="51"/>
        <v>5398</v>
      </c>
      <c r="AR61" s="492">
        <f t="shared" si="51"/>
        <v>0</v>
      </c>
      <c r="AS61" s="609">
        <f>O61+AL61</f>
        <v>1</v>
      </c>
    </row>
    <row r="62" spans="1:45" ht="12.95" customHeight="1" x14ac:dyDescent="0.25">
      <c r="A62" s="144">
        <v>14</v>
      </c>
      <c r="B62" s="44">
        <v>5457</v>
      </c>
      <c r="C62" s="44">
        <v>600099377</v>
      </c>
      <c r="D62" s="44">
        <v>855049</v>
      </c>
      <c r="E62" s="297" t="s">
        <v>462</v>
      </c>
      <c r="F62" s="44"/>
      <c r="G62" s="310"/>
      <c r="H62" s="131"/>
      <c r="I62" s="648">
        <v>51655458</v>
      </c>
      <c r="J62" s="566">
        <v>38284341</v>
      </c>
      <c r="K62" s="566">
        <v>36000</v>
      </c>
      <c r="L62" s="366">
        <v>12952275</v>
      </c>
      <c r="M62" s="366">
        <v>382842</v>
      </c>
      <c r="N62" s="566">
        <v>0</v>
      </c>
      <c r="O62" s="730">
        <v>57.267899999999997</v>
      </c>
      <c r="P62" s="653">
        <f t="shared" ref="P62:AS62" si="53">SUM(P57:P61)</f>
        <v>-24000</v>
      </c>
      <c r="Q62" s="465">
        <f t="shared" si="53"/>
        <v>0</v>
      </c>
      <c r="R62" s="366">
        <f t="shared" si="53"/>
        <v>0</v>
      </c>
      <c r="S62" s="366">
        <f t="shared" si="53"/>
        <v>0</v>
      </c>
      <c r="T62" s="366">
        <f t="shared" si="53"/>
        <v>0</v>
      </c>
      <c r="U62" s="366">
        <f t="shared" si="53"/>
        <v>0</v>
      </c>
      <c r="V62" s="366">
        <f t="shared" si="53"/>
        <v>-24000</v>
      </c>
      <c r="W62" s="366">
        <f t="shared" si="53"/>
        <v>24000</v>
      </c>
      <c r="X62" s="366">
        <f t="shared" si="53"/>
        <v>0</v>
      </c>
      <c r="Y62" s="366">
        <f t="shared" si="53"/>
        <v>0</v>
      </c>
      <c r="Z62" s="366">
        <f t="shared" si="53"/>
        <v>24000</v>
      </c>
      <c r="AA62" s="366">
        <f t="shared" si="53"/>
        <v>0</v>
      </c>
      <c r="AB62" s="366">
        <f t="shared" si="53"/>
        <v>0</v>
      </c>
      <c r="AC62" s="366">
        <f t="shared" si="53"/>
        <v>-240</v>
      </c>
      <c r="AD62" s="366">
        <f t="shared" si="53"/>
        <v>0</v>
      </c>
      <c r="AE62" s="807">
        <f t="shared" si="53"/>
        <v>-240</v>
      </c>
      <c r="AF62" s="814">
        <f t="shared" si="53"/>
        <v>0</v>
      </c>
      <c r="AG62" s="731">
        <f t="shared" si="53"/>
        <v>0</v>
      </c>
      <c r="AH62" s="731">
        <f t="shared" si="53"/>
        <v>0</v>
      </c>
      <c r="AI62" s="731">
        <f t="shared" si="53"/>
        <v>0</v>
      </c>
      <c r="AJ62" s="367">
        <f t="shared" si="53"/>
        <v>0</v>
      </c>
      <c r="AK62" s="367">
        <f t="shared" si="53"/>
        <v>0</v>
      </c>
      <c r="AL62" s="298">
        <f t="shared" si="53"/>
        <v>0</v>
      </c>
      <c r="AM62" s="653">
        <f t="shared" si="53"/>
        <v>51655218</v>
      </c>
      <c r="AN62" s="465">
        <f t="shared" si="53"/>
        <v>38260341</v>
      </c>
      <c r="AO62" s="366">
        <f t="shared" si="53"/>
        <v>60000</v>
      </c>
      <c r="AP62" s="366">
        <f t="shared" si="53"/>
        <v>12952275</v>
      </c>
      <c r="AQ62" s="366">
        <f t="shared" si="53"/>
        <v>382602</v>
      </c>
      <c r="AR62" s="366">
        <f t="shared" si="53"/>
        <v>0</v>
      </c>
      <c r="AS62" s="298">
        <f t="shared" si="53"/>
        <v>57.267899999999997</v>
      </c>
    </row>
    <row r="63" spans="1:45" ht="12.95" customHeight="1" x14ac:dyDescent="0.25">
      <c r="A63" s="205">
        <v>15</v>
      </c>
      <c r="B63" s="143">
        <v>5459</v>
      </c>
      <c r="C63" s="143">
        <v>600099415</v>
      </c>
      <c r="D63" s="143">
        <v>70946086</v>
      </c>
      <c r="E63" s="295" t="s">
        <v>463</v>
      </c>
      <c r="F63" s="143">
        <v>3231</v>
      </c>
      <c r="G63" s="295" t="s">
        <v>281</v>
      </c>
      <c r="H63" s="210" t="s">
        <v>262</v>
      </c>
      <c r="I63" s="580">
        <v>24703502</v>
      </c>
      <c r="J63" s="490">
        <v>18326040</v>
      </c>
      <c r="K63" s="490">
        <v>0</v>
      </c>
      <c r="L63" s="55">
        <v>6194202</v>
      </c>
      <c r="M63" s="55">
        <v>183260</v>
      </c>
      <c r="N63" s="490">
        <v>0</v>
      </c>
      <c r="O63" s="719">
        <v>27.5275</v>
      </c>
      <c r="P63" s="552">
        <f>W63*-1</f>
        <v>0</v>
      </c>
      <c r="Q63" s="573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>P63+Q63+R63+S63+T63+U63</f>
        <v>0</v>
      </c>
      <c r="W63" s="325">
        <v>0</v>
      </c>
      <c r="X63" s="325">
        <v>0</v>
      </c>
      <c r="Y63" s="325">
        <v>0</v>
      </c>
      <c r="Z63" s="492">
        <f>W63+X63+Y63</f>
        <v>0</v>
      </c>
      <c r="AA63" s="492">
        <f>V63+Z63</f>
        <v>0</v>
      </c>
      <c r="AB63" s="494">
        <f>ROUND((V63+Z63)*33.8%,0)</f>
        <v>0</v>
      </c>
      <c r="AC63" s="494">
        <f>ROUND(V63*1%,0)</f>
        <v>0</v>
      </c>
      <c r="AD63" s="492">
        <v>0</v>
      </c>
      <c r="AE63" s="753">
        <f t="shared" ref="AE63" si="54">AA63+AB63+AC63+AD63</f>
        <v>0</v>
      </c>
      <c r="AF63" s="813">
        <v>0</v>
      </c>
      <c r="AG63" s="729">
        <v>0</v>
      </c>
      <c r="AH63" s="728">
        <v>0</v>
      </c>
      <c r="AI63" s="728">
        <v>0</v>
      </c>
      <c r="AJ63" s="326">
        <v>0</v>
      </c>
      <c r="AK63" s="326">
        <v>0</v>
      </c>
      <c r="AL63" s="609">
        <f>SUM(AF63:AK63)</f>
        <v>0</v>
      </c>
      <c r="AM63" s="676">
        <f>I63+AE63</f>
        <v>24703502</v>
      </c>
      <c r="AN63" s="492">
        <f>J63+V63</f>
        <v>18326040</v>
      </c>
      <c r="AO63" s="573">
        <f>K63+Z63</f>
        <v>0</v>
      </c>
      <c r="AP63" s="492">
        <f>L63+AB63</f>
        <v>6194202</v>
      </c>
      <c r="AQ63" s="492">
        <f>M63+AC63</f>
        <v>183260</v>
      </c>
      <c r="AR63" s="492">
        <f>N63+AD63</f>
        <v>0</v>
      </c>
      <c r="AS63" s="609">
        <f>O63+AL63</f>
        <v>27.5275</v>
      </c>
    </row>
    <row r="64" spans="1:45" ht="12.95" customHeight="1" x14ac:dyDescent="0.25">
      <c r="A64" s="144">
        <v>15</v>
      </c>
      <c r="B64" s="41">
        <v>5459</v>
      </c>
      <c r="C64" s="41">
        <v>600099415</v>
      </c>
      <c r="D64" s="41">
        <v>70946086</v>
      </c>
      <c r="E64" s="297" t="s">
        <v>464</v>
      </c>
      <c r="F64" s="41"/>
      <c r="G64" s="297"/>
      <c r="H64" s="128"/>
      <c r="I64" s="649">
        <v>24703502</v>
      </c>
      <c r="J64" s="567">
        <v>18326040</v>
      </c>
      <c r="K64" s="567">
        <v>0</v>
      </c>
      <c r="L64" s="351">
        <v>6194202</v>
      </c>
      <c r="M64" s="351">
        <v>183260</v>
      </c>
      <c r="N64" s="567">
        <v>0</v>
      </c>
      <c r="O64" s="732">
        <v>27.5275</v>
      </c>
      <c r="P64" s="654">
        <f t="shared" ref="P64:AS64" si="55">SUM(P63)</f>
        <v>0</v>
      </c>
      <c r="Q64" s="466">
        <f t="shared" si="55"/>
        <v>0</v>
      </c>
      <c r="R64" s="351">
        <f t="shared" si="55"/>
        <v>0</v>
      </c>
      <c r="S64" s="351">
        <f t="shared" si="55"/>
        <v>0</v>
      </c>
      <c r="T64" s="351">
        <f t="shared" si="55"/>
        <v>0</v>
      </c>
      <c r="U64" s="351">
        <f t="shared" si="55"/>
        <v>0</v>
      </c>
      <c r="V64" s="351">
        <f t="shared" si="55"/>
        <v>0</v>
      </c>
      <c r="W64" s="351">
        <f t="shared" si="55"/>
        <v>0</v>
      </c>
      <c r="X64" s="351">
        <f t="shared" si="55"/>
        <v>0</v>
      </c>
      <c r="Y64" s="351">
        <f t="shared" si="55"/>
        <v>0</v>
      </c>
      <c r="Z64" s="351">
        <f t="shared" si="55"/>
        <v>0</v>
      </c>
      <c r="AA64" s="351">
        <f t="shared" si="55"/>
        <v>0</v>
      </c>
      <c r="AB64" s="351">
        <f t="shared" si="55"/>
        <v>0</v>
      </c>
      <c r="AC64" s="351">
        <f t="shared" si="55"/>
        <v>0</v>
      </c>
      <c r="AD64" s="351">
        <f t="shared" si="55"/>
        <v>0</v>
      </c>
      <c r="AE64" s="808">
        <f t="shared" si="55"/>
        <v>0</v>
      </c>
      <c r="AF64" s="815">
        <f t="shared" si="55"/>
        <v>0</v>
      </c>
      <c r="AG64" s="733">
        <f t="shared" si="55"/>
        <v>0</v>
      </c>
      <c r="AH64" s="733">
        <f t="shared" si="55"/>
        <v>0</v>
      </c>
      <c r="AI64" s="733">
        <f t="shared" si="55"/>
        <v>0</v>
      </c>
      <c r="AJ64" s="352">
        <f t="shared" si="55"/>
        <v>0</v>
      </c>
      <c r="AK64" s="352">
        <f t="shared" si="55"/>
        <v>0</v>
      </c>
      <c r="AL64" s="204">
        <f t="shared" si="55"/>
        <v>0</v>
      </c>
      <c r="AM64" s="654">
        <f t="shared" si="55"/>
        <v>24703502</v>
      </c>
      <c r="AN64" s="466">
        <f t="shared" si="55"/>
        <v>18326040</v>
      </c>
      <c r="AO64" s="351">
        <f t="shared" si="55"/>
        <v>0</v>
      </c>
      <c r="AP64" s="351">
        <f t="shared" si="55"/>
        <v>6194202</v>
      </c>
      <c r="AQ64" s="351">
        <f t="shared" si="55"/>
        <v>183260</v>
      </c>
      <c r="AR64" s="351">
        <f t="shared" si="55"/>
        <v>0</v>
      </c>
      <c r="AS64" s="204">
        <f t="shared" si="55"/>
        <v>27.5275</v>
      </c>
    </row>
    <row r="65" spans="1:45" ht="12.95" customHeight="1" x14ac:dyDescent="0.25">
      <c r="A65" s="205">
        <v>16</v>
      </c>
      <c r="B65" s="299">
        <v>5482</v>
      </c>
      <c r="C65" s="299">
        <v>600098982</v>
      </c>
      <c r="D65" s="299">
        <v>71006923</v>
      </c>
      <c r="E65" s="295" t="s">
        <v>465</v>
      </c>
      <c r="F65" s="143">
        <v>3111</v>
      </c>
      <c r="G65" s="296" t="s">
        <v>290</v>
      </c>
      <c r="H65" s="210" t="s">
        <v>262</v>
      </c>
      <c r="I65" s="580">
        <v>1771590</v>
      </c>
      <c r="J65" s="490">
        <v>1314236</v>
      </c>
      <c r="K65" s="490">
        <v>0</v>
      </c>
      <c r="L65" s="55">
        <v>444212</v>
      </c>
      <c r="M65" s="55">
        <v>13142</v>
      </c>
      <c r="N65" s="490">
        <v>0</v>
      </c>
      <c r="O65" s="719">
        <v>2</v>
      </c>
      <c r="P65" s="552">
        <f t="shared" ref="P65:P68" si="56">W65*-1</f>
        <v>0</v>
      </c>
      <c r="Q65" s="573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>P65+Q65+R65+S65+T65+U65</f>
        <v>0</v>
      </c>
      <c r="W65" s="325">
        <v>0</v>
      </c>
      <c r="X65" s="325">
        <v>0</v>
      </c>
      <c r="Y65" s="325">
        <v>0</v>
      </c>
      <c r="Z65" s="492">
        <f>W65+X65+Y65</f>
        <v>0</v>
      </c>
      <c r="AA65" s="492">
        <f>V65+Z65</f>
        <v>0</v>
      </c>
      <c r="AB65" s="494">
        <f>ROUND((V65+Z65)*33.8%,0)</f>
        <v>0</v>
      </c>
      <c r="AC65" s="494">
        <f>ROUND(V65*1%,0)</f>
        <v>0</v>
      </c>
      <c r="AD65" s="492">
        <v>0</v>
      </c>
      <c r="AE65" s="753">
        <f t="shared" ref="AE65:AE68" si="57">AA65+AB65+AC65+AD65</f>
        <v>0</v>
      </c>
      <c r="AF65" s="813">
        <v>0</v>
      </c>
      <c r="AG65" s="729">
        <v>0</v>
      </c>
      <c r="AH65" s="728">
        <v>0</v>
      </c>
      <c r="AI65" s="728">
        <v>0</v>
      </c>
      <c r="AJ65" s="326">
        <v>0</v>
      </c>
      <c r="AK65" s="326">
        <v>0</v>
      </c>
      <c r="AL65" s="609">
        <f>SUM(AF65:AK65)</f>
        <v>0</v>
      </c>
      <c r="AM65" s="676">
        <f>I65+AE65</f>
        <v>1771590</v>
      </c>
      <c r="AN65" s="492">
        <f>J65+V65</f>
        <v>1314236</v>
      </c>
      <c r="AO65" s="573">
        <f>K65+Z65</f>
        <v>0</v>
      </c>
      <c r="AP65" s="492">
        <f t="shared" ref="AP65:AR68" si="58">L65+AB65</f>
        <v>444212</v>
      </c>
      <c r="AQ65" s="492">
        <f t="shared" si="58"/>
        <v>13142</v>
      </c>
      <c r="AR65" s="492">
        <f t="shared" si="58"/>
        <v>0</v>
      </c>
      <c r="AS65" s="609">
        <f>O65+AL65</f>
        <v>2</v>
      </c>
    </row>
    <row r="66" spans="1:45" ht="12.95" customHeight="1" x14ac:dyDescent="0.25">
      <c r="A66" s="205">
        <v>16</v>
      </c>
      <c r="B66" s="143">
        <v>5482</v>
      </c>
      <c r="C66" s="143">
        <v>600098982</v>
      </c>
      <c r="D66" s="143">
        <v>71006923</v>
      </c>
      <c r="E66" s="295" t="s">
        <v>465</v>
      </c>
      <c r="F66" s="143">
        <v>3117</v>
      </c>
      <c r="G66" s="295" t="s">
        <v>294</v>
      </c>
      <c r="H66" s="210" t="s">
        <v>262</v>
      </c>
      <c r="I66" s="580">
        <v>4812347</v>
      </c>
      <c r="J66" s="490">
        <v>3569990</v>
      </c>
      <c r="K66" s="490">
        <v>0</v>
      </c>
      <c r="L66" s="55">
        <v>1206656</v>
      </c>
      <c r="M66" s="55">
        <v>35701</v>
      </c>
      <c r="N66" s="490">
        <v>0</v>
      </c>
      <c r="O66" s="719">
        <v>4.7271999999999998</v>
      </c>
      <c r="P66" s="327">
        <f t="shared" si="56"/>
        <v>0</v>
      </c>
      <c r="Q66" s="573">
        <v>0</v>
      </c>
      <c r="R66" s="325">
        <v>0</v>
      </c>
      <c r="S66" s="325">
        <v>0</v>
      </c>
      <c r="T66" s="325">
        <v>0</v>
      </c>
      <c r="U66" s="325">
        <v>0</v>
      </c>
      <c r="V66" s="492">
        <f>P66+Q66+R66+S66+T66+U66</f>
        <v>0</v>
      </c>
      <c r="W66" s="325">
        <v>0</v>
      </c>
      <c r="X66" s="325">
        <v>0</v>
      </c>
      <c r="Y66" s="325">
        <v>0</v>
      </c>
      <c r="Z66" s="492">
        <f>W66+X66+Y66</f>
        <v>0</v>
      </c>
      <c r="AA66" s="492">
        <f>V66+Z66</f>
        <v>0</v>
      </c>
      <c r="AB66" s="494">
        <f>ROUND((V66+Z66)*33.8%,0)</f>
        <v>0</v>
      </c>
      <c r="AC66" s="494">
        <f>ROUND(V66*1%,0)</f>
        <v>0</v>
      </c>
      <c r="AD66" s="492">
        <v>0</v>
      </c>
      <c r="AE66" s="753">
        <f t="shared" si="57"/>
        <v>0</v>
      </c>
      <c r="AF66" s="813">
        <v>0</v>
      </c>
      <c r="AG66" s="729">
        <v>0</v>
      </c>
      <c r="AH66" s="728">
        <v>0</v>
      </c>
      <c r="AI66" s="728">
        <v>0</v>
      </c>
      <c r="AJ66" s="326">
        <v>0</v>
      </c>
      <c r="AK66" s="326">
        <v>0</v>
      </c>
      <c r="AL66" s="609">
        <f>SUM(AF66:AK66)</f>
        <v>0</v>
      </c>
      <c r="AM66" s="676">
        <f>I66+AE66</f>
        <v>4812347</v>
      </c>
      <c r="AN66" s="492">
        <f>J66+V66</f>
        <v>3569990</v>
      </c>
      <c r="AO66" s="573">
        <f>K66+Z66</f>
        <v>0</v>
      </c>
      <c r="AP66" s="492">
        <f t="shared" si="58"/>
        <v>1206656</v>
      </c>
      <c r="AQ66" s="492">
        <f t="shared" si="58"/>
        <v>35701</v>
      </c>
      <c r="AR66" s="492">
        <f t="shared" si="58"/>
        <v>0</v>
      </c>
      <c r="AS66" s="609">
        <f>O66+AL66</f>
        <v>4.7271999999999998</v>
      </c>
    </row>
    <row r="67" spans="1:45" ht="12.95" customHeight="1" x14ac:dyDescent="0.25">
      <c r="A67" s="205">
        <v>16</v>
      </c>
      <c r="B67" s="143">
        <v>5482</v>
      </c>
      <c r="C67" s="143">
        <v>600098982</v>
      </c>
      <c r="D67" s="143">
        <v>71006923</v>
      </c>
      <c r="E67" s="295" t="s">
        <v>465</v>
      </c>
      <c r="F67" s="143">
        <v>3117</v>
      </c>
      <c r="G67" s="248" t="s">
        <v>278</v>
      </c>
      <c r="H67" s="210" t="s">
        <v>263</v>
      </c>
      <c r="I67" s="580">
        <v>267475</v>
      </c>
      <c r="J67" s="490">
        <v>198424</v>
      </c>
      <c r="K67" s="490">
        <v>0</v>
      </c>
      <c r="L67" s="55">
        <v>67067</v>
      </c>
      <c r="M67" s="55">
        <v>1984</v>
      </c>
      <c r="N67" s="490">
        <v>0</v>
      </c>
      <c r="O67" s="719">
        <v>0.5</v>
      </c>
      <c r="P67" s="327">
        <f t="shared" si="56"/>
        <v>0</v>
      </c>
      <c r="Q67" s="573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>P67+Q67+R67+S67+T67+U67</f>
        <v>0</v>
      </c>
      <c r="W67" s="325">
        <v>0</v>
      </c>
      <c r="X67" s="325">
        <v>0</v>
      </c>
      <c r="Y67" s="325">
        <v>0</v>
      </c>
      <c r="Z67" s="492">
        <f>W67+X67+Y67</f>
        <v>0</v>
      </c>
      <c r="AA67" s="492">
        <f>V67+Z67</f>
        <v>0</v>
      </c>
      <c r="AB67" s="494">
        <f>ROUND((V67+Z67)*33.8%,0)</f>
        <v>0</v>
      </c>
      <c r="AC67" s="494">
        <f>ROUND(V67*1%,0)</f>
        <v>0</v>
      </c>
      <c r="AD67" s="492">
        <v>0</v>
      </c>
      <c r="AE67" s="753">
        <f t="shared" si="57"/>
        <v>0</v>
      </c>
      <c r="AF67" s="813">
        <v>0</v>
      </c>
      <c r="AG67" s="729">
        <v>0</v>
      </c>
      <c r="AH67" s="728">
        <v>0</v>
      </c>
      <c r="AI67" s="728">
        <v>0</v>
      </c>
      <c r="AJ67" s="326">
        <v>0</v>
      </c>
      <c r="AK67" s="326">
        <v>0</v>
      </c>
      <c r="AL67" s="609">
        <f>SUM(AF67:AK67)</f>
        <v>0</v>
      </c>
      <c r="AM67" s="676">
        <f>I67+AE67</f>
        <v>267475</v>
      </c>
      <c r="AN67" s="492">
        <f>J67+V67</f>
        <v>198424</v>
      </c>
      <c r="AO67" s="573">
        <f>K67+Z67</f>
        <v>0</v>
      </c>
      <c r="AP67" s="492">
        <f t="shared" si="58"/>
        <v>67067</v>
      </c>
      <c r="AQ67" s="492">
        <f t="shared" si="58"/>
        <v>1984</v>
      </c>
      <c r="AR67" s="492">
        <f t="shared" si="58"/>
        <v>0</v>
      </c>
      <c r="AS67" s="609">
        <f>O67+AL67</f>
        <v>0.5</v>
      </c>
    </row>
    <row r="68" spans="1:45" ht="12.95" customHeight="1" x14ac:dyDescent="0.25">
      <c r="A68" s="205">
        <v>16</v>
      </c>
      <c r="B68" s="143">
        <v>5482</v>
      </c>
      <c r="C68" s="143">
        <v>600098982</v>
      </c>
      <c r="D68" s="143">
        <v>71006923</v>
      </c>
      <c r="E68" s="295" t="s">
        <v>465</v>
      </c>
      <c r="F68" s="143">
        <v>3143</v>
      </c>
      <c r="G68" s="248" t="s">
        <v>794</v>
      </c>
      <c r="H68" s="210" t="s">
        <v>262</v>
      </c>
      <c r="I68" s="580">
        <v>1198159</v>
      </c>
      <c r="J68" s="490">
        <v>888842</v>
      </c>
      <c r="K68" s="490">
        <v>0</v>
      </c>
      <c r="L68" s="55">
        <v>300429</v>
      </c>
      <c r="M68" s="55">
        <v>8888</v>
      </c>
      <c r="N68" s="490">
        <v>0</v>
      </c>
      <c r="O68" s="719">
        <v>1.6786000000000001</v>
      </c>
      <c r="P68" s="327">
        <f t="shared" si="56"/>
        <v>0</v>
      </c>
      <c r="Q68" s="573">
        <v>0</v>
      </c>
      <c r="R68" s="325">
        <v>0</v>
      </c>
      <c r="S68" s="325">
        <v>0</v>
      </c>
      <c r="T68" s="325">
        <v>0</v>
      </c>
      <c r="U68" s="325">
        <v>0</v>
      </c>
      <c r="V68" s="492">
        <f>P68+Q68+R68+S68+T68+U68</f>
        <v>0</v>
      </c>
      <c r="W68" s="325">
        <v>0</v>
      </c>
      <c r="X68" s="325">
        <v>0</v>
      </c>
      <c r="Y68" s="325">
        <v>0</v>
      </c>
      <c r="Z68" s="492">
        <f>W68+X68+Y68</f>
        <v>0</v>
      </c>
      <c r="AA68" s="492">
        <f>V68+Z68</f>
        <v>0</v>
      </c>
      <c r="AB68" s="494">
        <f>ROUND((V68+Z68)*33.8%,0)</f>
        <v>0</v>
      </c>
      <c r="AC68" s="494">
        <f>ROUND(V68*1%,0)</f>
        <v>0</v>
      </c>
      <c r="AD68" s="492">
        <v>0</v>
      </c>
      <c r="AE68" s="753">
        <f t="shared" si="57"/>
        <v>0</v>
      </c>
      <c r="AF68" s="813">
        <v>0</v>
      </c>
      <c r="AG68" s="729">
        <v>0</v>
      </c>
      <c r="AH68" s="728">
        <v>0</v>
      </c>
      <c r="AI68" s="728">
        <v>0</v>
      </c>
      <c r="AJ68" s="326">
        <v>0</v>
      </c>
      <c r="AK68" s="326">
        <v>0</v>
      </c>
      <c r="AL68" s="609">
        <f>SUM(AF68:AK68)</f>
        <v>0</v>
      </c>
      <c r="AM68" s="676">
        <f>I68+AE68</f>
        <v>1198159</v>
      </c>
      <c r="AN68" s="492">
        <f>J68+V68</f>
        <v>888842</v>
      </c>
      <c r="AO68" s="573">
        <f>K68+Z68</f>
        <v>0</v>
      </c>
      <c r="AP68" s="492">
        <f t="shared" si="58"/>
        <v>300429</v>
      </c>
      <c r="AQ68" s="492">
        <f t="shared" si="58"/>
        <v>8888</v>
      </c>
      <c r="AR68" s="492">
        <f t="shared" si="58"/>
        <v>0</v>
      </c>
      <c r="AS68" s="609">
        <f>O68+AL68</f>
        <v>1.6786000000000001</v>
      </c>
    </row>
    <row r="69" spans="1:45" ht="12.95" customHeight="1" x14ac:dyDescent="0.25">
      <c r="A69" s="144">
        <v>16</v>
      </c>
      <c r="B69" s="41">
        <v>5482</v>
      </c>
      <c r="C69" s="41">
        <v>600098982</v>
      </c>
      <c r="D69" s="41">
        <v>71006923</v>
      </c>
      <c r="E69" s="297" t="s">
        <v>466</v>
      </c>
      <c r="F69" s="41"/>
      <c r="G69" s="297"/>
      <c r="H69" s="128"/>
      <c r="I69" s="649">
        <v>8049571</v>
      </c>
      <c r="J69" s="567">
        <v>5971492</v>
      </c>
      <c r="K69" s="567">
        <v>0</v>
      </c>
      <c r="L69" s="351">
        <v>2018364</v>
      </c>
      <c r="M69" s="351">
        <v>59715</v>
      </c>
      <c r="N69" s="567">
        <v>0</v>
      </c>
      <c r="O69" s="732">
        <v>8.9057999999999993</v>
      </c>
      <c r="P69" s="654">
        <f t="shared" ref="P69:AS69" si="59">SUM(P65:P68)</f>
        <v>0</v>
      </c>
      <c r="Q69" s="466">
        <f t="shared" si="59"/>
        <v>0</v>
      </c>
      <c r="R69" s="351">
        <f t="shared" si="59"/>
        <v>0</v>
      </c>
      <c r="S69" s="351">
        <f t="shared" si="59"/>
        <v>0</v>
      </c>
      <c r="T69" s="351">
        <f t="shared" si="59"/>
        <v>0</v>
      </c>
      <c r="U69" s="351">
        <f t="shared" si="59"/>
        <v>0</v>
      </c>
      <c r="V69" s="351">
        <f t="shared" si="59"/>
        <v>0</v>
      </c>
      <c r="W69" s="351">
        <f t="shared" si="59"/>
        <v>0</v>
      </c>
      <c r="X69" s="351">
        <f t="shared" si="59"/>
        <v>0</v>
      </c>
      <c r="Y69" s="351">
        <f t="shared" si="59"/>
        <v>0</v>
      </c>
      <c r="Z69" s="351">
        <f t="shared" si="59"/>
        <v>0</v>
      </c>
      <c r="AA69" s="351">
        <f t="shared" si="59"/>
        <v>0</v>
      </c>
      <c r="AB69" s="351">
        <f t="shared" si="59"/>
        <v>0</v>
      </c>
      <c r="AC69" s="351">
        <f t="shared" si="59"/>
        <v>0</v>
      </c>
      <c r="AD69" s="351">
        <f t="shared" si="59"/>
        <v>0</v>
      </c>
      <c r="AE69" s="808">
        <f t="shared" si="59"/>
        <v>0</v>
      </c>
      <c r="AF69" s="815">
        <f t="shared" si="59"/>
        <v>0</v>
      </c>
      <c r="AG69" s="733">
        <f t="shared" si="59"/>
        <v>0</v>
      </c>
      <c r="AH69" s="733">
        <f t="shared" si="59"/>
        <v>0</v>
      </c>
      <c r="AI69" s="733">
        <f t="shared" si="59"/>
        <v>0</v>
      </c>
      <c r="AJ69" s="352">
        <f t="shared" si="59"/>
        <v>0</v>
      </c>
      <c r="AK69" s="352">
        <f t="shared" si="59"/>
        <v>0</v>
      </c>
      <c r="AL69" s="204">
        <f t="shared" si="59"/>
        <v>0</v>
      </c>
      <c r="AM69" s="654">
        <f t="shared" si="59"/>
        <v>8049571</v>
      </c>
      <c r="AN69" s="466">
        <f t="shared" si="59"/>
        <v>5971492</v>
      </c>
      <c r="AO69" s="351">
        <f t="shared" si="59"/>
        <v>0</v>
      </c>
      <c r="AP69" s="351">
        <f t="shared" si="59"/>
        <v>2018364</v>
      </c>
      <c r="AQ69" s="351">
        <f t="shared" si="59"/>
        <v>59715</v>
      </c>
      <c r="AR69" s="351">
        <f t="shared" si="59"/>
        <v>0</v>
      </c>
      <c r="AS69" s="204">
        <f t="shared" si="59"/>
        <v>8.9057999999999993</v>
      </c>
    </row>
    <row r="70" spans="1:45" ht="12.95" customHeight="1" x14ac:dyDescent="0.25">
      <c r="A70" s="205">
        <v>17</v>
      </c>
      <c r="B70" s="304">
        <v>3421</v>
      </c>
      <c r="C70" s="304">
        <v>600077985</v>
      </c>
      <c r="D70" s="206">
        <v>72741651</v>
      </c>
      <c r="E70" s="303" t="s">
        <v>467</v>
      </c>
      <c r="F70" s="304">
        <v>3111</v>
      </c>
      <c r="G70" s="296" t="s">
        <v>290</v>
      </c>
      <c r="H70" s="210" t="s">
        <v>262</v>
      </c>
      <c r="I70" s="580">
        <v>5785517</v>
      </c>
      <c r="J70" s="490">
        <v>4280016</v>
      </c>
      <c r="K70" s="490">
        <v>12000</v>
      </c>
      <c r="L70" s="55">
        <v>1450701</v>
      </c>
      <c r="M70" s="55">
        <v>42800</v>
      </c>
      <c r="N70" s="490">
        <v>0</v>
      </c>
      <c r="O70" s="719">
        <v>7.71</v>
      </c>
      <c r="P70" s="552">
        <f>W70*-1</f>
        <v>-8000</v>
      </c>
      <c r="Q70" s="573">
        <v>0</v>
      </c>
      <c r="R70" s="325">
        <v>0</v>
      </c>
      <c r="S70" s="325">
        <v>0</v>
      </c>
      <c r="T70" s="325">
        <v>0</v>
      </c>
      <c r="U70" s="325">
        <v>0</v>
      </c>
      <c r="V70" s="492">
        <f>P70+Q70+R70+S70+T70+U70</f>
        <v>-8000</v>
      </c>
      <c r="W70" s="325">
        <v>8000</v>
      </c>
      <c r="X70" s="325">
        <v>0</v>
      </c>
      <c r="Y70" s="325">
        <v>0</v>
      </c>
      <c r="Z70" s="492">
        <f>W70+X70+Y70</f>
        <v>8000</v>
      </c>
      <c r="AA70" s="492">
        <f>V70+Z70</f>
        <v>0</v>
      </c>
      <c r="AB70" s="494">
        <f>ROUND((V70+Z70)*33.8%,0)</f>
        <v>0</v>
      </c>
      <c r="AC70" s="494">
        <f>ROUND(V70*1%,0)</f>
        <v>-80</v>
      </c>
      <c r="AD70" s="492">
        <v>0</v>
      </c>
      <c r="AE70" s="753">
        <f t="shared" ref="AE70:AE71" si="60">AA70+AB70+AC70+AD70</f>
        <v>-80</v>
      </c>
      <c r="AF70" s="813">
        <v>0</v>
      </c>
      <c r="AG70" s="729">
        <v>0</v>
      </c>
      <c r="AH70" s="728">
        <v>0</v>
      </c>
      <c r="AI70" s="728">
        <v>0</v>
      </c>
      <c r="AJ70" s="326">
        <v>0</v>
      </c>
      <c r="AK70" s="326">
        <v>0</v>
      </c>
      <c r="AL70" s="609">
        <f>SUM(AF70:AK70)</f>
        <v>0</v>
      </c>
      <c r="AM70" s="676">
        <f>I70+AE70</f>
        <v>5785437</v>
      </c>
      <c r="AN70" s="492">
        <f>J70+V70</f>
        <v>4272016</v>
      </c>
      <c r="AO70" s="573">
        <f>K70+Z70</f>
        <v>20000</v>
      </c>
      <c r="AP70" s="492">
        <f t="shared" ref="AP70:AR71" si="61">L70+AB70</f>
        <v>1450701</v>
      </c>
      <c r="AQ70" s="492">
        <f t="shared" si="61"/>
        <v>42720</v>
      </c>
      <c r="AR70" s="492">
        <f t="shared" si="61"/>
        <v>0</v>
      </c>
      <c r="AS70" s="609">
        <f>O70+AL70</f>
        <v>7.71</v>
      </c>
    </row>
    <row r="71" spans="1:45" ht="12.95" customHeight="1" x14ac:dyDescent="0.25">
      <c r="A71" s="205">
        <v>17</v>
      </c>
      <c r="B71" s="143">
        <v>3421</v>
      </c>
      <c r="C71" s="143">
        <v>600077985</v>
      </c>
      <c r="D71" s="206">
        <v>72741651</v>
      </c>
      <c r="E71" s="142" t="s">
        <v>467</v>
      </c>
      <c r="F71" s="304">
        <v>3111</v>
      </c>
      <c r="G71" s="248" t="s">
        <v>278</v>
      </c>
      <c r="H71" s="210" t="s">
        <v>263</v>
      </c>
      <c r="I71" s="580">
        <v>534949</v>
      </c>
      <c r="J71" s="490">
        <v>396847</v>
      </c>
      <c r="K71" s="490">
        <v>0</v>
      </c>
      <c r="L71" s="55">
        <v>134134</v>
      </c>
      <c r="M71" s="55">
        <v>3968</v>
      </c>
      <c r="N71" s="490">
        <v>0</v>
      </c>
      <c r="O71" s="719">
        <v>1</v>
      </c>
      <c r="P71" s="327">
        <f>W71*-1</f>
        <v>0</v>
      </c>
      <c r="Q71" s="573">
        <v>0</v>
      </c>
      <c r="R71" s="325">
        <v>0</v>
      </c>
      <c r="S71" s="325">
        <v>0</v>
      </c>
      <c r="T71" s="325">
        <v>0</v>
      </c>
      <c r="U71" s="325">
        <v>0</v>
      </c>
      <c r="V71" s="492">
        <f>P71+Q71+R71+S71+T71+U71</f>
        <v>0</v>
      </c>
      <c r="W71" s="325">
        <v>0</v>
      </c>
      <c r="X71" s="325">
        <v>0</v>
      </c>
      <c r="Y71" s="325">
        <v>0</v>
      </c>
      <c r="Z71" s="492">
        <f>W71+X71+Y71</f>
        <v>0</v>
      </c>
      <c r="AA71" s="492">
        <f>V71+Z71</f>
        <v>0</v>
      </c>
      <c r="AB71" s="494">
        <f>ROUND((V71+Z71)*33.8%,0)</f>
        <v>0</v>
      </c>
      <c r="AC71" s="494">
        <f>ROUND(V71*1%,0)</f>
        <v>0</v>
      </c>
      <c r="AD71" s="492">
        <v>0</v>
      </c>
      <c r="AE71" s="753">
        <f t="shared" si="60"/>
        <v>0</v>
      </c>
      <c r="AF71" s="813">
        <v>0</v>
      </c>
      <c r="AG71" s="729">
        <v>0</v>
      </c>
      <c r="AH71" s="728">
        <v>0</v>
      </c>
      <c r="AI71" s="728">
        <v>0</v>
      </c>
      <c r="AJ71" s="326">
        <v>0</v>
      </c>
      <c r="AK71" s="326">
        <v>0</v>
      </c>
      <c r="AL71" s="609">
        <f>SUM(AF71:AK71)</f>
        <v>0</v>
      </c>
      <c r="AM71" s="676">
        <f>I71+AE71</f>
        <v>534949</v>
      </c>
      <c r="AN71" s="492">
        <f>J71+V71</f>
        <v>396847</v>
      </c>
      <c r="AO71" s="573">
        <f>K71+Z71</f>
        <v>0</v>
      </c>
      <c r="AP71" s="492">
        <f t="shared" si="61"/>
        <v>134134</v>
      </c>
      <c r="AQ71" s="492">
        <f t="shared" si="61"/>
        <v>3968</v>
      </c>
      <c r="AR71" s="492">
        <f t="shared" si="61"/>
        <v>0</v>
      </c>
      <c r="AS71" s="609">
        <f>O71+AL71</f>
        <v>1</v>
      </c>
    </row>
    <row r="72" spans="1:45" ht="12.95" customHeight="1" x14ac:dyDescent="0.25">
      <c r="A72" s="144">
        <v>17</v>
      </c>
      <c r="B72" s="42">
        <v>3421</v>
      </c>
      <c r="C72" s="42">
        <v>600077985</v>
      </c>
      <c r="D72" s="44">
        <v>72741651</v>
      </c>
      <c r="E72" s="297" t="s">
        <v>468</v>
      </c>
      <c r="F72" s="44"/>
      <c r="G72" s="310"/>
      <c r="H72" s="131"/>
      <c r="I72" s="651">
        <v>6320466</v>
      </c>
      <c r="J72" s="569">
        <v>4676863</v>
      </c>
      <c r="K72" s="569">
        <v>12000</v>
      </c>
      <c r="L72" s="361">
        <v>1584835</v>
      </c>
      <c r="M72" s="361">
        <v>46768</v>
      </c>
      <c r="N72" s="569">
        <v>0</v>
      </c>
      <c r="O72" s="739">
        <v>8.7100000000000009</v>
      </c>
      <c r="P72" s="656">
        <f t="shared" ref="P72:AS72" si="62">SUM(P70:P71)</f>
        <v>-8000</v>
      </c>
      <c r="Q72" s="468">
        <f t="shared" si="62"/>
        <v>0</v>
      </c>
      <c r="R72" s="361">
        <f t="shared" si="62"/>
        <v>0</v>
      </c>
      <c r="S72" s="361">
        <f t="shared" si="62"/>
        <v>0</v>
      </c>
      <c r="T72" s="361">
        <f t="shared" si="62"/>
        <v>0</v>
      </c>
      <c r="U72" s="361">
        <f t="shared" si="62"/>
        <v>0</v>
      </c>
      <c r="V72" s="361">
        <f t="shared" si="62"/>
        <v>-8000</v>
      </c>
      <c r="W72" s="361">
        <f t="shared" si="62"/>
        <v>8000</v>
      </c>
      <c r="X72" s="361">
        <f t="shared" si="62"/>
        <v>0</v>
      </c>
      <c r="Y72" s="361">
        <f t="shared" si="62"/>
        <v>0</v>
      </c>
      <c r="Z72" s="361">
        <f t="shared" si="62"/>
        <v>8000</v>
      </c>
      <c r="AA72" s="361">
        <f t="shared" si="62"/>
        <v>0</v>
      </c>
      <c r="AB72" s="361">
        <f t="shared" si="62"/>
        <v>0</v>
      </c>
      <c r="AC72" s="361">
        <f t="shared" si="62"/>
        <v>-80</v>
      </c>
      <c r="AD72" s="361">
        <f t="shared" si="62"/>
        <v>0</v>
      </c>
      <c r="AE72" s="810">
        <f t="shared" si="62"/>
        <v>-80</v>
      </c>
      <c r="AF72" s="817">
        <f t="shared" si="62"/>
        <v>0</v>
      </c>
      <c r="AG72" s="740">
        <f t="shared" si="62"/>
        <v>0</v>
      </c>
      <c r="AH72" s="740">
        <f t="shared" si="62"/>
        <v>0</v>
      </c>
      <c r="AI72" s="740">
        <f t="shared" si="62"/>
        <v>0</v>
      </c>
      <c r="AJ72" s="362">
        <f t="shared" si="62"/>
        <v>0</v>
      </c>
      <c r="AK72" s="362">
        <f t="shared" si="62"/>
        <v>0</v>
      </c>
      <c r="AL72" s="276">
        <f t="shared" si="62"/>
        <v>0</v>
      </c>
      <c r="AM72" s="656">
        <f t="shared" si="62"/>
        <v>6320386</v>
      </c>
      <c r="AN72" s="468">
        <f t="shared" si="62"/>
        <v>4668863</v>
      </c>
      <c r="AO72" s="361">
        <f t="shared" si="62"/>
        <v>20000</v>
      </c>
      <c r="AP72" s="361">
        <f t="shared" si="62"/>
        <v>1584835</v>
      </c>
      <c r="AQ72" s="361">
        <f t="shared" si="62"/>
        <v>46688</v>
      </c>
      <c r="AR72" s="361">
        <f t="shared" si="62"/>
        <v>0</v>
      </c>
      <c r="AS72" s="276">
        <f t="shared" si="62"/>
        <v>8.7100000000000009</v>
      </c>
    </row>
    <row r="73" spans="1:45" ht="12.95" customHeight="1" x14ac:dyDescent="0.25">
      <c r="A73" s="205">
        <v>18</v>
      </c>
      <c r="B73" s="143">
        <v>3420</v>
      </c>
      <c r="C73" s="143">
        <v>600078442</v>
      </c>
      <c r="D73" s="206">
        <v>72741571</v>
      </c>
      <c r="E73" s="295" t="s">
        <v>469</v>
      </c>
      <c r="F73" s="143">
        <v>3113</v>
      </c>
      <c r="G73" s="295" t="s">
        <v>294</v>
      </c>
      <c r="H73" s="210" t="s">
        <v>262</v>
      </c>
      <c r="I73" s="580">
        <v>14206829</v>
      </c>
      <c r="J73" s="490">
        <v>10502921</v>
      </c>
      <c r="K73" s="490">
        <v>36540</v>
      </c>
      <c r="L73" s="55">
        <v>3562338</v>
      </c>
      <c r="M73" s="55">
        <v>105030</v>
      </c>
      <c r="N73" s="490">
        <v>0</v>
      </c>
      <c r="O73" s="719">
        <v>14.8591</v>
      </c>
      <c r="P73" s="552">
        <f>W73*-1</f>
        <v>-24360</v>
      </c>
      <c r="Q73" s="573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>P73+Q73+R73+S73+T73+U73</f>
        <v>-24360</v>
      </c>
      <c r="W73" s="325">
        <v>24360</v>
      </c>
      <c r="X73" s="325">
        <v>0</v>
      </c>
      <c r="Y73" s="325">
        <v>0</v>
      </c>
      <c r="Z73" s="492">
        <f>W73+X73+Y73</f>
        <v>24360</v>
      </c>
      <c r="AA73" s="492">
        <f>V73+Z73</f>
        <v>0</v>
      </c>
      <c r="AB73" s="494">
        <f>ROUND((V73+Z73)*33.8%,0)</f>
        <v>0</v>
      </c>
      <c r="AC73" s="494">
        <f>ROUND(V73*1%,0)</f>
        <v>-244</v>
      </c>
      <c r="AD73" s="492">
        <v>0</v>
      </c>
      <c r="AE73" s="753">
        <f t="shared" ref="AE73:AE76" si="63">AA73+AB73+AC73+AD73</f>
        <v>-244</v>
      </c>
      <c r="AF73" s="813">
        <v>-0.03</v>
      </c>
      <c r="AG73" s="729">
        <v>0</v>
      </c>
      <c r="AH73" s="728">
        <v>0</v>
      </c>
      <c r="AI73" s="728">
        <v>0</v>
      </c>
      <c r="AJ73" s="326">
        <v>0</v>
      </c>
      <c r="AK73" s="326">
        <v>0</v>
      </c>
      <c r="AL73" s="609">
        <f>SUM(AF73:AK73)</f>
        <v>-0.03</v>
      </c>
      <c r="AM73" s="676">
        <f>I73+AE73</f>
        <v>14206585</v>
      </c>
      <c r="AN73" s="492">
        <f>J73+V73</f>
        <v>10478561</v>
      </c>
      <c r="AO73" s="573">
        <f>K73+Z73</f>
        <v>60900</v>
      </c>
      <c r="AP73" s="492">
        <f t="shared" ref="AP73:AR76" si="64">L73+AB73</f>
        <v>3562338</v>
      </c>
      <c r="AQ73" s="492">
        <f t="shared" si="64"/>
        <v>104786</v>
      </c>
      <c r="AR73" s="492">
        <f t="shared" si="64"/>
        <v>0</v>
      </c>
      <c r="AS73" s="609">
        <f>O73+AL73</f>
        <v>14.8291</v>
      </c>
    </row>
    <row r="74" spans="1:45" ht="12.95" customHeight="1" x14ac:dyDescent="0.25">
      <c r="A74" s="704">
        <v>18</v>
      </c>
      <c r="B74" s="736">
        <v>3420</v>
      </c>
      <c r="C74" s="736">
        <v>600078442</v>
      </c>
      <c r="D74" s="705">
        <v>72741571</v>
      </c>
      <c r="E74" s="737" t="s">
        <v>469</v>
      </c>
      <c r="F74" s="736">
        <v>3113</v>
      </c>
      <c r="G74" s="737" t="s">
        <v>799</v>
      </c>
      <c r="H74" s="738" t="s">
        <v>262</v>
      </c>
      <c r="I74" s="580">
        <v>359665</v>
      </c>
      <c r="J74" s="490">
        <v>266814</v>
      </c>
      <c r="K74" s="490">
        <v>0</v>
      </c>
      <c r="L74" s="55">
        <v>90183</v>
      </c>
      <c r="M74" s="55">
        <v>2668</v>
      </c>
      <c r="N74" s="490">
        <v>0</v>
      </c>
      <c r="O74" s="719">
        <v>0.5</v>
      </c>
      <c r="P74" s="552">
        <f t="shared" ref="P74" si="65">W74*-1</f>
        <v>0</v>
      </c>
      <c r="Q74" s="573">
        <v>0</v>
      </c>
      <c r="R74" s="325">
        <v>0</v>
      </c>
      <c r="S74" s="325">
        <v>0</v>
      </c>
      <c r="T74" s="325">
        <v>0</v>
      </c>
      <c r="U74" s="325">
        <v>0</v>
      </c>
      <c r="V74" s="492">
        <f>P74+Q74+R74+S74+T74+U74</f>
        <v>0</v>
      </c>
      <c r="W74" s="325">
        <v>0</v>
      </c>
      <c r="X74" s="325">
        <v>0</v>
      </c>
      <c r="Y74" s="325">
        <v>0</v>
      </c>
      <c r="Z74" s="492">
        <f>W74+X74+Y74</f>
        <v>0</v>
      </c>
      <c r="AA74" s="492">
        <f>V74+Z74</f>
        <v>0</v>
      </c>
      <c r="AB74" s="494">
        <f>ROUND((V74+Z74)*33.8%,0)</f>
        <v>0</v>
      </c>
      <c r="AC74" s="494">
        <f>ROUND(V74*1%,0)</f>
        <v>0</v>
      </c>
      <c r="AD74" s="492">
        <v>0</v>
      </c>
      <c r="AE74" s="753">
        <f t="shared" si="63"/>
        <v>0</v>
      </c>
      <c r="AF74" s="813">
        <v>0</v>
      </c>
      <c r="AG74" s="729">
        <v>0</v>
      </c>
      <c r="AH74" s="728">
        <v>0</v>
      </c>
      <c r="AI74" s="728">
        <v>0</v>
      </c>
      <c r="AJ74" s="326">
        <v>0</v>
      </c>
      <c r="AK74" s="326">
        <v>0</v>
      </c>
      <c r="AL74" s="609">
        <f>SUM(AF74:AK74)</f>
        <v>0</v>
      </c>
      <c r="AM74" s="676">
        <f>I74+AE74</f>
        <v>359665</v>
      </c>
      <c r="AN74" s="492">
        <f>J74+V74</f>
        <v>266814</v>
      </c>
      <c r="AO74" s="573">
        <f>K74+Z74</f>
        <v>0</v>
      </c>
      <c r="AP74" s="492">
        <f t="shared" si="64"/>
        <v>90183</v>
      </c>
      <c r="AQ74" s="492">
        <f t="shared" si="64"/>
        <v>2668</v>
      </c>
      <c r="AR74" s="492">
        <f t="shared" si="64"/>
        <v>0</v>
      </c>
      <c r="AS74" s="609">
        <f>O74+AL74</f>
        <v>0.5</v>
      </c>
    </row>
    <row r="75" spans="1:45" ht="12.95" customHeight="1" x14ac:dyDescent="0.25">
      <c r="A75" s="205">
        <v>18</v>
      </c>
      <c r="B75" s="299">
        <v>3420</v>
      </c>
      <c r="C75" s="299">
        <v>600078442</v>
      </c>
      <c r="D75" s="206">
        <v>72741571</v>
      </c>
      <c r="E75" s="295" t="s">
        <v>469</v>
      </c>
      <c r="F75" s="143">
        <v>3113</v>
      </c>
      <c r="G75" s="248" t="s">
        <v>278</v>
      </c>
      <c r="H75" s="210" t="s">
        <v>263</v>
      </c>
      <c r="I75" s="580">
        <v>534951</v>
      </c>
      <c r="J75" s="490">
        <v>396848</v>
      </c>
      <c r="K75" s="490">
        <v>0</v>
      </c>
      <c r="L75" s="55">
        <v>134135</v>
      </c>
      <c r="M75" s="55">
        <v>3968</v>
      </c>
      <c r="N75" s="490">
        <v>0</v>
      </c>
      <c r="O75" s="719">
        <v>1</v>
      </c>
      <c r="P75" s="327">
        <f>W75*-1</f>
        <v>0</v>
      </c>
      <c r="Q75" s="573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>P75+Q75+R75+S75+T75+U75</f>
        <v>0</v>
      </c>
      <c r="W75" s="325">
        <v>0</v>
      </c>
      <c r="X75" s="325">
        <v>0</v>
      </c>
      <c r="Y75" s="325">
        <v>0</v>
      </c>
      <c r="Z75" s="492">
        <f>W75+X75+Y75</f>
        <v>0</v>
      </c>
      <c r="AA75" s="492">
        <f>V75+Z75</f>
        <v>0</v>
      </c>
      <c r="AB75" s="494">
        <f>ROUND((V75+Z75)*33.8%,0)</f>
        <v>0</v>
      </c>
      <c r="AC75" s="494">
        <f>ROUND(V75*1%,0)</f>
        <v>0</v>
      </c>
      <c r="AD75" s="492">
        <v>0</v>
      </c>
      <c r="AE75" s="753">
        <f t="shared" si="63"/>
        <v>0</v>
      </c>
      <c r="AF75" s="813">
        <v>0</v>
      </c>
      <c r="AG75" s="729">
        <v>0</v>
      </c>
      <c r="AH75" s="728">
        <v>0</v>
      </c>
      <c r="AI75" s="728">
        <v>0</v>
      </c>
      <c r="AJ75" s="326">
        <v>0</v>
      </c>
      <c r="AK75" s="326">
        <v>0</v>
      </c>
      <c r="AL75" s="609">
        <f>SUM(AF75:AK75)</f>
        <v>0</v>
      </c>
      <c r="AM75" s="676">
        <f>I75+AE75</f>
        <v>534951</v>
      </c>
      <c r="AN75" s="492">
        <f>J75+V75</f>
        <v>396848</v>
      </c>
      <c r="AO75" s="573">
        <f>K75+Z75</f>
        <v>0</v>
      </c>
      <c r="AP75" s="492">
        <f t="shared" si="64"/>
        <v>134135</v>
      </c>
      <c r="AQ75" s="492">
        <f t="shared" si="64"/>
        <v>3968</v>
      </c>
      <c r="AR75" s="492">
        <f t="shared" si="64"/>
        <v>0</v>
      </c>
      <c r="AS75" s="609">
        <f>O75+AL75</f>
        <v>1</v>
      </c>
    </row>
    <row r="76" spans="1:45" ht="12.95" customHeight="1" x14ac:dyDescent="0.25">
      <c r="A76" s="205">
        <v>18</v>
      </c>
      <c r="B76" s="299">
        <v>3420</v>
      </c>
      <c r="C76" s="299">
        <v>600078442</v>
      </c>
      <c r="D76" s="206">
        <v>72741571</v>
      </c>
      <c r="E76" s="295" t="s">
        <v>469</v>
      </c>
      <c r="F76" s="143">
        <v>3143</v>
      </c>
      <c r="G76" s="248" t="s">
        <v>794</v>
      </c>
      <c r="H76" s="210" t="s">
        <v>262</v>
      </c>
      <c r="I76" s="580">
        <v>1058572</v>
      </c>
      <c r="J76" s="490">
        <v>785291</v>
      </c>
      <c r="K76" s="490">
        <v>0</v>
      </c>
      <c r="L76" s="55">
        <v>265428</v>
      </c>
      <c r="M76" s="55">
        <v>7853</v>
      </c>
      <c r="N76" s="490">
        <v>0</v>
      </c>
      <c r="O76" s="719">
        <v>1.5</v>
      </c>
      <c r="P76" s="327">
        <f>W76*-1</f>
        <v>0</v>
      </c>
      <c r="Q76" s="573">
        <v>0</v>
      </c>
      <c r="R76" s="325">
        <v>0</v>
      </c>
      <c r="S76" s="325">
        <v>0</v>
      </c>
      <c r="T76" s="325">
        <v>0</v>
      </c>
      <c r="U76" s="325">
        <v>0</v>
      </c>
      <c r="V76" s="492">
        <f>P76+Q76+R76+S76+T76+U76</f>
        <v>0</v>
      </c>
      <c r="W76" s="325">
        <v>0</v>
      </c>
      <c r="X76" s="325">
        <v>0</v>
      </c>
      <c r="Y76" s="325">
        <v>0</v>
      </c>
      <c r="Z76" s="492">
        <f>W76+X76+Y76</f>
        <v>0</v>
      </c>
      <c r="AA76" s="492">
        <f>V76+Z76</f>
        <v>0</v>
      </c>
      <c r="AB76" s="494">
        <f>ROUND((V76+Z76)*33.8%,0)</f>
        <v>0</v>
      </c>
      <c r="AC76" s="494">
        <f>ROUND(V76*1%,0)</f>
        <v>0</v>
      </c>
      <c r="AD76" s="492">
        <v>0</v>
      </c>
      <c r="AE76" s="753">
        <f t="shared" si="63"/>
        <v>0</v>
      </c>
      <c r="AF76" s="813">
        <v>0</v>
      </c>
      <c r="AG76" s="729">
        <v>0</v>
      </c>
      <c r="AH76" s="728">
        <v>0</v>
      </c>
      <c r="AI76" s="728">
        <v>0</v>
      </c>
      <c r="AJ76" s="326">
        <v>0</v>
      </c>
      <c r="AK76" s="326">
        <v>0</v>
      </c>
      <c r="AL76" s="609">
        <f>SUM(AF76:AK76)</f>
        <v>0</v>
      </c>
      <c r="AM76" s="676">
        <f>I76+AE76</f>
        <v>1058572</v>
      </c>
      <c r="AN76" s="492">
        <f>J76+V76</f>
        <v>785291</v>
      </c>
      <c r="AO76" s="573">
        <f>K76+Z76</f>
        <v>0</v>
      </c>
      <c r="AP76" s="492">
        <f t="shared" si="64"/>
        <v>265428</v>
      </c>
      <c r="AQ76" s="492">
        <f t="shared" si="64"/>
        <v>7853</v>
      </c>
      <c r="AR76" s="492">
        <f t="shared" si="64"/>
        <v>0</v>
      </c>
      <c r="AS76" s="609">
        <f>O76+AL76</f>
        <v>1.5</v>
      </c>
    </row>
    <row r="77" spans="1:45" ht="12.95" customHeight="1" x14ac:dyDescent="0.25">
      <c r="A77" s="144">
        <v>18</v>
      </c>
      <c r="B77" s="42">
        <v>3420</v>
      </c>
      <c r="C77" s="42">
        <v>600078442</v>
      </c>
      <c r="D77" s="42">
        <v>72741571</v>
      </c>
      <c r="E77" s="297" t="s">
        <v>470</v>
      </c>
      <c r="F77" s="41"/>
      <c r="G77" s="297"/>
      <c r="H77" s="128"/>
      <c r="I77" s="649">
        <v>16160017</v>
      </c>
      <c r="J77" s="567">
        <v>11951874</v>
      </c>
      <c r="K77" s="567">
        <v>36540</v>
      </c>
      <c r="L77" s="351">
        <v>4052084</v>
      </c>
      <c r="M77" s="351">
        <v>119519</v>
      </c>
      <c r="N77" s="567">
        <v>0</v>
      </c>
      <c r="O77" s="732">
        <v>17.859099999999998</v>
      </c>
      <c r="P77" s="654">
        <f t="shared" ref="P77:AS77" si="66">SUM(P73:P76)</f>
        <v>-24360</v>
      </c>
      <c r="Q77" s="466">
        <f t="shared" si="66"/>
        <v>0</v>
      </c>
      <c r="R77" s="351">
        <f t="shared" si="66"/>
        <v>0</v>
      </c>
      <c r="S77" s="351">
        <f t="shared" si="66"/>
        <v>0</v>
      </c>
      <c r="T77" s="351">
        <f t="shared" si="66"/>
        <v>0</v>
      </c>
      <c r="U77" s="351">
        <f t="shared" si="66"/>
        <v>0</v>
      </c>
      <c r="V77" s="351">
        <f t="shared" si="66"/>
        <v>-24360</v>
      </c>
      <c r="W77" s="351">
        <f t="shared" si="66"/>
        <v>24360</v>
      </c>
      <c r="X77" s="351">
        <f t="shared" si="66"/>
        <v>0</v>
      </c>
      <c r="Y77" s="351">
        <f t="shared" si="66"/>
        <v>0</v>
      </c>
      <c r="Z77" s="351">
        <f t="shared" si="66"/>
        <v>24360</v>
      </c>
      <c r="AA77" s="351">
        <f t="shared" si="66"/>
        <v>0</v>
      </c>
      <c r="AB77" s="351">
        <f t="shared" si="66"/>
        <v>0</v>
      </c>
      <c r="AC77" s="351">
        <f t="shared" si="66"/>
        <v>-244</v>
      </c>
      <c r="AD77" s="351">
        <f t="shared" si="66"/>
        <v>0</v>
      </c>
      <c r="AE77" s="808">
        <f t="shared" si="66"/>
        <v>-244</v>
      </c>
      <c r="AF77" s="815">
        <f t="shared" si="66"/>
        <v>-0.03</v>
      </c>
      <c r="AG77" s="733">
        <f t="shared" si="66"/>
        <v>0</v>
      </c>
      <c r="AH77" s="733">
        <f t="shared" si="66"/>
        <v>0</v>
      </c>
      <c r="AI77" s="733">
        <f t="shared" si="66"/>
        <v>0</v>
      </c>
      <c r="AJ77" s="352">
        <f t="shared" si="66"/>
        <v>0</v>
      </c>
      <c r="AK77" s="352">
        <f t="shared" si="66"/>
        <v>0</v>
      </c>
      <c r="AL77" s="204">
        <f t="shared" si="66"/>
        <v>-0.03</v>
      </c>
      <c r="AM77" s="654">
        <f t="shared" si="66"/>
        <v>16159773</v>
      </c>
      <c r="AN77" s="466">
        <f t="shared" si="66"/>
        <v>11927514</v>
      </c>
      <c r="AO77" s="351">
        <f t="shared" si="66"/>
        <v>60900</v>
      </c>
      <c r="AP77" s="351">
        <f t="shared" si="66"/>
        <v>4052084</v>
      </c>
      <c r="AQ77" s="351">
        <f t="shared" si="66"/>
        <v>119275</v>
      </c>
      <c r="AR77" s="351">
        <f t="shared" si="66"/>
        <v>0</v>
      </c>
      <c r="AS77" s="204">
        <f t="shared" si="66"/>
        <v>17.8291</v>
      </c>
    </row>
    <row r="78" spans="1:45" ht="12.95" customHeight="1" x14ac:dyDescent="0.25">
      <c r="A78" s="205">
        <v>19</v>
      </c>
      <c r="B78" s="293">
        <v>5493</v>
      </c>
      <c r="C78" s="293">
        <v>691009813</v>
      </c>
      <c r="D78" s="206">
        <v>6181457</v>
      </c>
      <c r="E78" s="294" t="s">
        <v>471</v>
      </c>
      <c r="F78" s="293">
        <v>3111</v>
      </c>
      <c r="G78" s="296" t="s">
        <v>290</v>
      </c>
      <c r="H78" s="210" t="s">
        <v>262</v>
      </c>
      <c r="I78" s="580">
        <v>3121509</v>
      </c>
      <c r="J78" s="490">
        <v>2315659</v>
      </c>
      <c r="K78" s="490">
        <v>0</v>
      </c>
      <c r="L78" s="55">
        <v>782693</v>
      </c>
      <c r="M78" s="55">
        <v>23157</v>
      </c>
      <c r="N78" s="490">
        <v>0</v>
      </c>
      <c r="O78" s="719">
        <v>4.1399999999999997</v>
      </c>
      <c r="P78" s="552">
        <f>W78*-1</f>
        <v>0</v>
      </c>
      <c r="Q78" s="573">
        <v>0</v>
      </c>
      <c r="R78" s="325">
        <v>0</v>
      </c>
      <c r="S78" s="325">
        <v>0</v>
      </c>
      <c r="T78" s="325">
        <v>0</v>
      </c>
      <c r="U78" s="325">
        <v>0</v>
      </c>
      <c r="V78" s="492">
        <f>P78+Q78+R78+S78+T78+U78</f>
        <v>0</v>
      </c>
      <c r="W78" s="325">
        <v>0</v>
      </c>
      <c r="X78" s="325">
        <v>0</v>
      </c>
      <c r="Y78" s="325">
        <v>0</v>
      </c>
      <c r="Z78" s="492">
        <f>W78+X78+Y78</f>
        <v>0</v>
      </c>
      <c r="AA78" s="492">
        <f>V78+Z78</f>
        <v>0</v>
      </c>
      <c r="AB78" s="494">
        <f>ROUND((V78+Z78)*33.8%,0)</f>
        <v>0</v>
      </c>
      <c r="AC78" s="494">
        <f>ROUND(V78*1%,0)</f>
        <v>0</v>
      </c>
      <c r="AD78" s="492">
        <v>0</v>
      </c>
      <c r="AE78" s="753">
        <f t="shared" ref="AE78:AE79" si="67">AA78+AB78+AC78+AD78</f>
        <v>0</v>
      </c>
      <c r="AF78" s="813">
        <v>0</v>
      </c>
      <c r="AG78" s="729">
        <v>0</v>
      </c>
      <c r="AH78" s="728">
        <v>0</v>
      </c>
      <c r="AI78" s="728">
        <v>0</v>
      </c>
      <c r="AJ78" s="326">
        <v>0</v>
      </c>
      <c r="AK78" s="326">
        <v>0</v>
      </c>
      <c r="AL78" s="609">
        <f>SUM(AF78:AK78)</f>
        <v>0</v>
      </c>
      <c r="AM78" s="676">
        <f>I78+AE78</f>
        <v>3121509</v>
      </c>
      <c r="AN78" s="492">
        <f>J78+V78</f>
        <v>2315659</v>
      </c>
      <c r="AO78" s="573">
        <f>K78+Z78</f>
        <v>0</v>
      </c>
      <c r="AP78" s="492">
        <f t="shared" ref="AP78:AR79" si="68">L78+AB78</f>
        <v>782693</v>
      </c>
      <c r="AQ78" s="492">
        <f t="shared" si="68"/>
        <v>23157</v>
      </c>
      <c r="AR78" s="492">
        <f t="shared" si="68"/>
        <v>0</v>
      </c>
      <c r="AS78" s="609">
        <f>O78+AL78</f>
        <v>4.1399999999999997</v>
      </c>
    </row>
    <row r="79" spans="1:45" ht="12.95" customHeight="1" x14ac:dyDescent="0.25">
      <c r="A79" s="205">
        <v>19</v>
      </c>
      <c r="B79" s="293">
        <v>5493</v>
      </c>
      <c r="C79" s="293">
        <v>691009813</v>
      </c>
      <c r="D79" s="206">
        <v>6181457</v>
      </c>
      <c r="E79" s="294" t="s">
        <v>471</v>
      </c>
      <c r="F79" s="293">
        <v>3111</v>
      </c>
      <c r="G79" s="248" t="s">
        <v>278</v>
      </c>
      <c r="H79" s="210" t="s">
        <v>263</v>
      </c>
      <c r="I79" s="580">
        <v>0</v>
      </c>
      <c r="J79" s="490">
        <v>0</v>
      </c>
      <c r="K79" s="490">
        <v>0</v>
      </c>
      <c r="L79" s="55">
        <v>0</v>
      </c>
      <c r="M79" s="55">
        <v>0</v>
      </c>
      <c r="N79" s="490">
        <v>0</v>
      </c>
      <c r="O79" s="719">
        <v>0</v>
      </c>
      <c r="P79" s="327">
        <f>W79*-1</f>
        <v>0</v>
      </c>
      <c r="Q79" s="573">
        <v>0</v>
      </c>
      <c r="R79" s="325">
        <v>0</v>
      </c>
      <c r="S79" s="325">
        <v>0</v>
      </c>
      <c r="T79" s="325">
        <v>0</v>
      </c>
      <c r="U79" s="325">
        <v>0</v>
      </c>
      <c r="V79" s="492">
        <f>P79+Q79+R79+S79+T79+U79</f>
        <v>0</v>
      </c>
      <c r="W79" s="325">
        <v>0</v>
      </c>
      <c r="X79" s="325">
        <v>0</v>
      </c>
      <c r="Y79" s="325">
        <v>0</v>
      </c>
      <c r="Z79" s="492">
        <f>W79+X79+Y79</f>
        <v>0</v>
      </c>
      <c r="AA79" s="492">
        <f>V79+Z79</f>
        <v>0</v>
      </c>
      <c r="AB79" s="494">
        <f>ROUND((V79+Z79)*33.8%,0)</f>
        <v>0</v>
      </c>
      <c r="AC79" s="494">
        <f>ROUND(V79*1%,0)</f>
        <v>0</v>
      </c>
      <c r="AD79" s="492">
        <v>0</v>
      </c>
      <c r="AE79" s="753">
        <f t="shared" si="67"/>
        <v>0</v>
      </c>
      <c r="AF79" s="813">
        <v>0</v>
      </c>
      <c r="AG79" s="729">
        <v>0</v>
      </c>
      <c r="AH79" s="728">
        <v>0</v>
      </c>
      <c r="AI79" s="728">
        <v>0</v>
      </c>
      <c r="AJ79" s="326">
        <v>0</v>
      </c>
      <c r="AK79" s="326">
        <v>0</v>
      </c>
      <c r="AL79" s="609">
        <f>SUM(AF79:AK79)</f>
        <v>0</v>
      </c>
      <c r="AM79" s="676">
        <f>I79+AE79</f>
        <v>0</v>
      </c>
      <c r="AN79" s="492">
        <f>J79+V79</f>
        <v>0</v>
      </c>
      <c r="AO79" s="573">
        <f>K79+Z79</f>
        <v>0</v>
      </c>
      <c r="AP79" s="492">
        <f t="shared" si="68"/>
        <v>0</v>
      </c>
      <c r="AQ79" s="492">
        <f t="shared" si="68"/>
        <v>0</v>
      </c>
      <c r="AR79" s="492">
        <f t="shared" si="68"/>
        <v>0</v>
      </c>
      <c r="AS79" s="609">
        <f>O79+AL79</f>
        <v>0</v>
      </c>
    </row>
    <row r="80" spans="1:45" ht="12.95" customHeight="1" x14ac:dyDescent="0.25">
      <c r="A80" s="144">
        <v>19</v>
      </c>
      <c r="B80" s="43">
        <v>5493</v>
      </c>
      <c r="C80" s="43">
        <v>691009813</v>
      </c>
      <c r="D80" s="43">
        <v>6181457</v>
      </c>
      <c r="E80" s="309" t="s">
        <v>472</v>
      </c>
      <c r="F80" s="43"/>
      <c r="G80" s="309"/>
      <c r="H80" s="130"/>
      <c r="I80" s="649">
        <v>3121509</v>
      </c>
      <c r="J80" s="567">
        <v>2315659</v>
      </c>
      <c r="K80" s="567">
        <v>0</v>
      </c>
      <c r="L80" s="351">
        <v>782693</v>
      </c>
      <c r="M80" s="351">
        <v>23157</v>
      </c>
      <c r="N80" s="567">
        <v>0</v>
      </c>
      <c r="O80" s="732">
        <v>4.1399999999999997</v>
      </c>
      <c r="P80" s="654">
        <f t="shared" ref="P80:AS80" si="69">SUM(P78:P79)</f>
        <v>0</v>
      </c>
      <c r="Q80" s="466">
        <f t="shared" si="69"/>
        <v>0</v>
      </c>
      <c r="R80" s="351">
        <f t="shared" si="69"/>
        <v>0</v>
      </c>
      <c r="S80" s="351">
        <f t="shared" si="69"/>
        <v>0</v>
      </c>
      <c r="T80" s="351">
        <f t="shared" si="69"/>
        <v>0</v>
      </c>
      <c r="U80" s="351">
        <f t="shared" si="69"/>
        <v>0</v>
      </c>
      <c r="V80" s="351">
        <f t="shared" si="69"/>
        <v>0</v>
      </c>
      <c r="W80" s="351">
        <f t="shared" si="69"/>
        <v>0</v>
      </c>
      <c r="X80" s="351">
        <f t="shared" si="69"/>
        <v>0</v>
      </c>
      <c r="Y80" s="351">
        <f t="shared" si="69"/>
        <v>0</v>
      </c>
      <c r="Z80" s="351">
        <f t="shared" si="69"/>
        <v>0</v>
      </c>
      <c r="AA80" s="351">
        <f t="shared" si="69"/>
        <v>0</v>
      </c>
      <c r="AB80" s="351">
        <f t="shared" si="69"/>
        <v>0</v>
      </c>
      <c r="AC80" s="351">
        <f t="shared" si="69"/>
        <v>0</v>
      </c>
      <c r="AD80" s="351">
        <f t="shared" si="69"/>
        <v>0</v>
      </c>
      <c r="AE80" s="808">
        <f t="shared" si="69"/>
        <v>0</v>
      </c>
      <c r="AF80" s="815">
        <f t="shared" si="69"/>
        <v>0</v>
      </c>
      <c r="AG80" s="733">
        <f t="shared" si="69"/>
        <v>0</v>
      </c>
      <c r="AH80" s="733">
        <f t="shared" si="69"/>
        <v>0</v>
      </c>
      <c r="AI80" s="733">
        <f t="shared" si="69"/>
        <v>0</v>
      </c>
      <c r="AJ80" s="352">
        <f t="shared" si="69"/>
        <v>0</v>
      </c>
      <c r="AK80" s="352">
        <f t="shared" si="69"/>
        <v>0</v>
      </c>
      <c r="AL80" s="204">
        <f t="shared" si="69"/>
        <v>0</v>
      </c>
      <c r="AM80" s="654">
        <f t="shared" si="69"/>
        <v>3121509</v>
      </c>
      <c r="AN80" s="466">
        <f t="shared" si="69"/>
        <v>2315659</v>
      </c>
      <c r="AO80" s="351">
        <f t="shared" si="69"/>
        <v>0</v>
      </c>
      <c r="AP80" s="351">
        <f t="shared" si="69"/>
        <v>782693</v>
      </c>
      <c r="AQ80" s="351">
        <f t="shared" si="69"/>
        <v>23157</v>
      </c>
      <c r="AR80" s="351">
        <f t="shared" si="69"/>
        <v>0</v>
      </c>
      <c r="AS80" s="204">
        <f t="shared" si="69"/>
        <v>4.1399999999999997</v>
      </c>
    </row>
    <row r="81" spans="1:45" ht="12.95" customHeight="1" x14ac:dyDescent="0.25">
      <c r="A81" s="205">
        <v>20</v>
      </c>
      <c r="B81" s="143">
        <v>2463</v>
      </c>
      <c r="C81" s="143">
        <v>600080056</v>
      </c>
      <c r="D81" s="206">
        <v>70982066</v>
      </c>
      <c r="E81" s="295" t="s">
        <v>473</v>
      </c>
      <c r="F81" s="143">
        <v>3113</v>
      </c>
      <c r="G81" s="295" t="s">
        <v>294</v>
      </c>
      <c r="H81" s="210" t="s">
        <v>262</v>
      </c>
      <c r="I81" s="580">
        <v>8436307</v>
      </c>
      <c r="J81" s="490">
        <v>6246477</v>
      </c>
      <c r="K81" s="490">
        <v>12000</v>
      </c>
      <c r="L81" s="55">
        <v>2115365</v>
      </c>
      <c r="M81" s="55">
        <v>62465</v>
      </c>
      <c r="N81" s="490">
        <v>0</v>
      </c>
      <c r="O81" s="719">
        <v>9.0706000000000007</v>
      </c>
      <c r="P81" s="552">
        <f>W81*-1</f>
        <v>-8000</v>
      </c>
      <c r="Q81" s="573">
        <v>0</v>
      </c>
      <c r="R81" s="325">
        <v>0</v>
      </c>
      <c r="S81" s="325">
        <v>0</v>
      </c>
      <c r="T81" s="325">
        <v>0</v>
      </c>
      <c r="U81" s="325">
        <v>0</v>
      </c>
      <c r="V81" s="492">
        <f>P81+Q81+R81+S81+T81+U81</f>
        <v>-8000</v>
      </c>
      <c r="W81" s="325">
        <v>8000</v>
      </c>
      <c r="X81" s="325">
        <v>0</v>
      </c>
      <c r="Y81" s="325">
        <v>0</v>
      </c>
      <c r="Z81" s="492">
        <f>W81+X81+Y81</f>
        <v>8000</v>
      </c>
      <c r="AA81" s="492">
        <f>V81+Z81</f>
        <v>0</v>
      </c>
      <c r="AB81" s="494">
        <f>ROUND((V81+Z81)*33.8%,0)</f>
        <v>0</v>
      </c>
      <c r="AC81" s="494">
        <f>ROUND(V81*1%,0)</f>
        <v>-80</v>
      </c>
      <c r="AD81" s="492">
        <v>0</v>
      </c>
      <c r="AE81" s="753">
        <f t="shared" ref="AE81:AE83" si="70">AA81+AB81+AC81+AD81</f>
        <v>-80</v>
      </c>
      <c r="AF81" s="813">
        <v>0</v>
      </c>
      <c r="AG81" s="729">
        <v>0</v>
      </c>
      <c r="AH81" s="728">
        <v>0</v>
      </c>
      <c r="AI81" s="728">
        <v>0</v>
      </c>
      <c r="AJ81" s="326">
        <v>0</v>
      </c>
      <c r="AK81" s="326">
        <v>0</v>
      </c>
      <c r="AL81" s="609">
        <f>SUM(AF81:AK81)</f>
        <v>0</v>
      </c>
      <c r="AM81" s="676">
        <f>I81+AE81</f>
        <v>8436227</v>
      </c>
      <c r="AN81" s="492">
        <f>J81+V81</f>
        <v>6238477</v>
      </c>
      <c r="AO81" s="573">
        <f>K81+Z81</f>
        <v>20000</v>
      </c>
      <c r="AP81" s="492">
        <f t="shared" ref="AP81:AR83" si="71">L81+AB81</f>
        <v>2115365</v>
      </c>
      <c r="AQ81" s="492">
        <f t="shared" si="71"/>
        <v>62385</v>
      </c>
      <c r="AR81" s="492">
        <f t="shared" si="71"/>
        <v>0</v>
      </c>
      <c r="AS81" s="609">
        <f>O81+AL81</f>
        <v>9.0706000000000007</v>
      </c>
    </row>
    <row r="82" spans="1:45" ht="12.95" customHeight="1" x14ac:dyDescent="0.25">
      <c r="A82" s="205">
        <v>20</v>
      </c>
      <c r="B82" s="299">
        <v>2463</v>
      </c>
      <c r="C82" s="299">
        <v>600080056</v>
      </c>
      <c r="D82" s="206">
        <v>70982066</v>
      </c>
      <c r="E82" s="295" t="s">
        <v>473</v>
      </c>
      <c r="F82" s="143">
        <v>3113</v>
      </c>
      <c r="G82" s="248" t="s">
        <v>278</v>
      </c>
      <c r="H82" s="210" t="s">
        <v>263</v>
      </c>
      <c r="I82" s="580">
        <v>1203640</v>
      </c>
      <c r="J82" s="490">
        <v>892908</v>
      </c>
      <c r="K82" s="490">
        <v>0</v>
      </c>
      <c r="L82" s="55">
        <v>301803</v>
      </c>
      <c r="M82" s="55">
        <v>8929</v>
      </c>
      <c r="N82" s="490">
        <v>0</v>
      </c>
      <c r="O82" s="719">
        <v>2.25</v>
      </c>
      <c r="P82" s="327">
        <f>W82*-1</f>
        <v>0</v>
      </c>
      <c r="Q82" s="573">
        <v>0</v>
      </c>
      <c r="R82" s="325">
        <v>0</v>
      </c>
      <c r="S82" s="325">
        <v>0</v>
      </c>
      <c r="T82" s="325">
        <v>0</v>
      </c>
      <c r="U82" s="325">
        <v>0</v>
      </c>
      <c r="V82" s="492">
        <f>P82+Q82+R82+S82+T82+U82</f>
        <v>0</v>
      </c>
      <c r="W82" s="325">
        <v>0</v>
      </c>
      <c r="X82" s="325">
        <v>0</v>
      </c>
      <c r="Y82" s="325">
        <v>0</v>
      </c>
      <c r="Z82" s="492">
        <f>W82+X82+Y82</f>
        <v>0</v>
      </c>
      <c r="AA82" s="492">
        <f>V82+Z82</f>
        <v>0</v>
      </c>
      <c r="AB82" s="494">
        <f>ROUND((V82+Z82)*33.8%,0)</f>
        <v>0</v>
      </c>
      <c r="AC82" s="494">
        <f>ROUND(V82*1%,0)</f>
        <v>0</v>
      </c>
      <c r="AD82" s="492">
        <v>0</v>
      </c>
      <c r="AE82" s="753">
        <f t="shared" si="70"/>
        <v>0</v>
      </c>
      <c r="AF82" s="813">
        <v>0</v>
      </c>
      <c r="AG82" s="729">
        <v>0</v>
      </c>
      <c r="AH82" s="728">
        <v>0</v>
      </c>
      <c r="AI82" s="728">
        <v>0</v>
      </c>
      <c r="AJ82" s="326">
        <v>0</v>
      </c>
      <c r="AK82" s="326">
        <v>0</v>
      </c>
      <c r="AL82" s="609">
        <f>SUM(AF82:AK82)</f>
        <v>0</v>
      </c>
      <c r="AM82" s="676">
        <f>I82+AE82</f>
        <v>1203640</v>
      </c>
      <c r="AN82" s="492">
        <f>J82+V82</f>
        <v>892908</v>
      </c>
      <c r="AO82" s="573">
        <f>K82+Z82</f>
        <v>0</v>
      </c>
      <c r="AP82" s="492">
        <f t="shared" si="71"/>
        <v>301803</v>
      </c>
      <c r="AQ82" s="492">
        <f t="shared" si="71"/>
        <v>8929</v>
      </c>
      <c r="AR82" s="492">
        <f t="shared" si="71"/>
        <v>0</v>
      </c>
      <c r="AS82" s="609">
        <f>O82+AL82</f>
        <v>2.25</v>
      </c>
    </row>
    <row r="83" spans="1:45" ht="12.95" customHeight="1" x14ac:dyDescent="0.25">
      <c r="A83" s="205">
        <v>20</v>
      </c>
      <c r="B83" s="299">
        <v>2463</v>
      </c>
      <c r="C83" s="299">
        <v>600080056</v>
      </c>
      <c r="D83" s="206">
        <v>70982066</v>
      </c>
      <c r="E83" s="295" t="s">
        <v>473</v>
      </c>
      <c r="F83" s="143">
        <v>3143</v>
      </c>
      <c r="G83" s="248" t="s">
        <v>794</v>
      </c>
      <c r="H83" s="210" t="s">
        <v>262</v>
      </c>
      <c r="I83" s="580">
        <v>1127386</v>
      </c>
      <c r="J83" s="490">
        <v>836340</v>
      </c>
      <c r="K83" s="490">
        <v>0</v>
      </c>
      <c r="L83" s="55">
        <v>282683</v>
      </c>
      <c r="M83" s="55">
        <v>8363</v>
      </c>
      <c r="N83" s="490">
        <v>0</v>
      </c>
      <c r="O83" s="719">
        <v>1.58</v>
      </c>
      <c r="P83" s="327">
        <f>W83*-1</f>
        <v>0</v>
      </c>
      <c r="Q83" s="573">
        <v>0</v>
      </c>
      <c r="R83" s="325">
        <v>0</v>
      </c>
      <c r="S83" s="325">
        <v>0</v>
      </c>
      <c r="T83" s="325">
        <v>0</v>
      </c>
      <c r="U83" s="325">
        <v>0</v>
      </c>
      <c r="V83" s="492">
        <f>P83+Q83+R83+S83+T83+U83</f>
        <v>0</v>
      </c>
      <c r="W83" s="325">
        <v>0</v>
      </c>
      <c r="X83" s="325">
        <v>0</v>
      </c>
      <c r="Y83" s="325">
        <v>0</v>
      </c>
      <c r="Z83" s="492">
        <f>W83+X83+Y83</f>
        <v>0</v>
      </c>
      <c r="AA83" s="492">
        <f>V83+Z83</f>
        <v>0</v>
      </c>
      <c r="AB83" s="494">
        <f>ROUND((V83+Z83)*33.8%,0)</f>
        <v>0</v>
      </c>
      <c r="AC83" s="494">
        <f>ROUND(V83*1%,0)</f>
        <v>0</v>
      </c>
      <c r="AD83" s="492">
        <v>0</v>
      </c>
      <c r="AE83" s="753">
        <f t="shared" si="70"/>
        <v>0</v>
      </c>
      <c r="AF83" s="813">
        <v>0</v>
      </c>
      <c r="AG83" s="729">
        <v>0</v>
      </c>
      <c r="AH83" s="728">
        <v>0</v>
      </c>
      <c r="AI83" s="728">
        <v>0</v>
      </c>
      <c r="AJ83" s="326">
        <v>0</v>
      </c>
      <c r="AK83" s="326">
        <v>0</v>
      </c>
      <c r="AL83" s="609">
        <f>SUM(AF83:AK83)</f>
        <v>0</v>
      </c>
      <c r="AM83" s="676">
        <f>I83+AE83</f>
        <v>1127386</v>
      </c>
      <c r="AN83" s="492">
        <f>J83+V83</f>
        <v>836340</v>
      </c>
      <c r="AO83" s="573">
        <f>K83+Z83</f>
        <v>0</v>
      </c>
      <c r="AP83" s="492">
        <f t="shared" si="71"/>
        <v>282683</v>
      </c>
      <c r="AQ83" s="492">
        <f t="shared" si="71"/>
        <v>8363</v>
      </c>
      <c r="AR83" s="492">
        <f t="shared" si="71"/>
        <v>0</v>
      </c>
      <c r="AS83" s="609">
        <f>O83+AL83</f>
        <v>1.58</v>
      </c>
    </row>
    <row r="84" spans="1:45" ht="12.75" customHeight="1" x14ac:dyDescent="0.25">
      <c r="A84" s="144">
        <v>20</v>
      </c>
      <c r="B84" s="42">
        <v>2463</v>
      </c>
      <c r="C84" s="42">
        <v>600080056</v>
      </c>
      <c r="D84" s="42">
        <v>70982066</v>
      </c>
      <c r="E84" s="297" t="s">
        <v>474</v>
      </c>
      <c r="F84" s="44"/>
      <c r="G84" s="310"/>
      <c r="H84" s="131"/>
      <c r="I84" s="651">
        <v>10767333</v>
      </c>
      <c r="J84" s="569">
        <v>7975725</v>
      </c>
      <c r="K84" s="569">
        <v>12000</v>
      </c>
      <c r="L84" s="361">
        <v>2699851</v>
      </c>
      <c r="M84" s="361">
        <v>79757</v>
      </c>
      <c r="N84" s="569">
        <v>0</v>
      </c>
      <c r="O84" s="739">
        <v>12.900600000000001</v>
      </c>
      <c r="P84" s="656">
        <f t="shared" ref="P84:AS84" si="72">SUM(P81:P83)</f>
        <v>-8000</v>
      </c>
      <c r="Q84" s="468">
        <f t="shared" si="72"/>
        <v>0</v>
      </c>
      <c r="R84" s="361">
        <f t="shared" si="72"/>
        <v>0</v>
      </c>
      <c r="S84" s="361">
        <f t="shared" si="72"/>
        <v>0</v>
      </c>
      <c r="T84" s="361">
        <f t="shared" si="72"/>
        <v>0</v>
      </c>
      <c r="U84" s="361">
        <f t="shared" si="72"/>
        <v>0</v>
      </c>
      <c r="V84" s="361">
        <f t="shared" si="72"/>
        <v>-8000</v>
      </c>
      <c r="W84" s="361">
        <f t="shared" si="72"/>
        <v>8000</v>
      </c>
      <c r="X84" s="361">
        <f t="shared" si="72"/>
        <v>0</v>
      </c>
      <c r="Y84" s="361">
        <f t="shared" si="72"/>
        <v>0</v>
      </c>
      <c r="Z84" s="361">
        <f t="shared" si="72"/>
        <v>8000</v>
      </c>
      <c r="AA84" s="361">
        <f t="shared" si="72"/>
        <v>0</v>
      </c>
      <c r="AB84" s="361">
        <f t="shared" si="72"/>
        <v>0</v>
      </c>
      <c r="AC84" s="361">
        <f t="shared" si="72"/>
        <v>-80</v>
      </c>
      <c r="AD84" s="361">
        <f t="shared" si="72"/>
        <v>0</v>
      </c>
      <c r="AE84" s="810">
        <f t="shared" si="72"/>
        <v>-80</v>
      </c>
      <c r="AF84" s="817">
        <f t="shared" si="72"/>
        <v>0</v>
      </c>
      <c r="AG84" s="740">
        <f t="shared" si="72"/>
        <v>0</v>
      </c>
      <c r="AH84" s="740">
        <f t="shared" si="72"/>
        <v>0</v>
      </c>
      <c r="AI84" s="740">
        <f t="shared" si="72"/>
        <v>0</v>
      </c>
      <c r="AJ84" s="362">
        <f t="shared" si="72"/>
        <v>0</v>
      </c>
      <c r="AK84" s="362">
        <f t="shared" si="72"/>
        <v>0</v>
      </c>
      <c r="AL84" s="276">
        <f t="shared" si="72"/>
        <v>0</v>
      </c>
      <c r="AM84" s="656">
        <f t="shared" si="72"/>
        <v>10767253</v>
      </c>
      <c r="AN84" s="468">
        <f t="shared" si="72"/>
        <v>7967725</v>
      </c>
      <c r="AO84" s="361">
        <f t="shared" si="72"/>
        <v>20000</v>
      </c>
      <c r="AP84" s="361">
        <f t="shared" si="72"/>
        <v>2699851</v>
      </c>
      <c r="AQ84" s="361">
        <f t="shared" si="72"/>
        <v>79677</v>
      </c>
      <c r="AR84" s="361">
        <f t="shared" si="72"/>
        <v>0</v>
      </c>
      <c r="AS84" s="276">
        <f t="shared" si="72"/>
        <v>12.900600000000001</v>
      </c>
    </row>
    <row r="85" spans="1:45" ht="12.95" customHeight="1" x14ac:dyDescent="0.25">
      <c r="A85" s="205">
        <v>21</v>
      </c>
      <c r="B85" s="143">
        <v>3427</v>
      </c>
      <c r="C85" s="143">
        <v>650023340</v>
      </c>
      <c r="D85" s="206">
        <v>70982988</v>
      </c>
      <c r="E85" s="142" t="s">
        <v>475</v>
      </c>
      <c r="F85" s="143">
        <v>3111</v>
      </c>
      <c r="G85" s="296" t="s">
        <v>290</v>
      </c>
      <c r="H85" s="210" t="s">
        <v>262</v>
      </c>
      <c r="I85" s="580">
        <v>3259243</v>
      </c>
      <c r="J85" s="490">
        <v>2417836</v>
      </c>
      <c r="K85" s="490">
        <v>0</v>
      </c>
      <c r="L85" s="55">
        <v>817229</v>
      </c>
      <c r="M85" s="55">
        <v>24178</v>
      </c>
      <c r="N85" s="490">
        <v>0</v>
      </c>
      <c r="O85" s="719">
        <v>4</v>
      </c>
      <c r="P85" s="552">
        <f t="shared" ref="P85:P88" si="73">W85*-1</f>
        <v>0</v>
      </c>
      <c r="Q85" s="573">
        <v>0</v>
      </c>
      <c r="R85" s="325">
        <v>0</v>
      </c>
      <c r="S85" s="325">
        <v>0</v>
      </c>
      <c r="T85" s="325">
        <v>0</v>
      </c>
      <c r="U85" s="325">
        <v>0</v>
      </c>
      <c r="V85" s="492">
        <f>P85+Q85+R85+S85+T85+U85</f>
        <v>0</v>
      </c>
      <c r="W85" s="325">
        <v>0</v>
      </c>
      <c r="X85" s="325">
        <v>0</v>
      </c>
      <c r="Y85" s="325">
        <v>0</v>
      </c>
      <c r="Z85" s="492">
        <f>W85+X85+Y85</f>
        <v>0</v>
      </c>
      <c r="AA85" s="492">
        <f>V85+Z85</f>
        <v>0</v>
      </c>
      <c r="AB85" s="494">
        <f>ROUND((V85+Z85)*33.8%,0)</f>
        <v>0</v>
      </c>
      <c r="AC85" s="494">
        <f>ROUND(V85*1%,0)</f>
        <v>0</v>
      </c>
      <c r="AD85" s="492">
        <v>0</v>
      </c>
      <c r="AE85" s="753">
        <f t="shared" ref="AE85:AE88" si="74">AA85+AB85+AC85+AD85</f>
        <v>0</v>
      </c>
      <c r="AF85" s="813">
        <v>0</v>
      </c>
      <c r="AG85" s="729">
        <v>0</v>
      </c>
      <c r="AH85" s="728">
        <v>0</v>
      </c>
      <c r="AI85" s="728">
        <v>0</v>
      </c>
      <c r="AJ85" s="326">
        <v>0</v>
      </c>
      <c r="AK85" s="326">
        <v>0</v>
      </c>
      <c r="AL85" s="609">
        <f>SUM(AF85:AK85)</f>
        <v>0</v>
      </c>
      <c r="AM85" s="676">
        <f>I85+AE85</f>
        <v>3259243</v>
      </c>
      <c r="AN85" s="492">
        <f>J85+V85</f>
        <v>2417836</v>
      </c>
      <c r="AO85" s="573">
        <f>K85+Z85</f>
        <v>0</v>
      </c>
      <c r="AP85" s="492">
        <f t="shared" ref="AP85:AR88" si="75">L85+AB85</f>
        <v>817229</v>
      </c>
      <c r="AQ85" s="492">
        <f t="shared" si="75"/>
        <v>24178</v>
      </c>
      <c r="AR85" s="492">
        <f t="shared" si="75"/>
        <v>0</v>
      </c>
      <c r="AS85" s="609">
        <f>O85+AL85</f>
        <v>4</v>
      </c>
    </row>
    <row r="86" spans="1:45" ht="12.95" customHeight="1" x14ac:dyDescent="0.25">
      <c r="A86" s="205">
        <v>21</v>
      </c>
      <c r="B86" s="143">
        <v>3427</v>
      </c>
      <c r="C86" s="143">
        <v>650023340</v>
      </c>
      <c r="D86" s="206">
        <v>70982988</v>
      </c>
      <c r="E86" s="295" t="s">
        <v>475</v>
      </c>
      <c r="F86" s="143">
        <v>3113</v>
      </c>
      <c r="G86" s="295" t="s">
        <v>294</v>
      </c>
      <c r="H86" s="210" t="s">
        <v>262</v>
      </c>
      <c r="I86" s="580">
        <v>12382790</v>
      </c>
      <c r="J86" s="490">
        <v>9186046</v>
      </c>
      <c r="K86" s="490">
        <v>0</v>
      </c>
      <c r="L86" s="55">
        <v>3104883</v>
      </c>
      <c r="M86" s="55">
        <v>91861</v>
      </c>
      <c r="N86" s="490">
        <v>0</v>
      </c>
      <c r="O86" s="719">
        <v>13.136100000000001</v>
      </c>
      <c r="P86" s="327">
        <f t="shared" si="73"/>
        <v>0</v>
      </c>
      <c r="Q86" s="573">
        <v>0</v>
      </c>
      <c r="R86" s="325">
        <v>0</v>
      </c>
      <c r="S86" s="325">
        <v>0</v>
      </c>
      <c r="T86" s="325">
        <v>0</v>
      </c>
      <c r="U86" s="325">
        <v>0</v>
      </c>
      <c r="V86" s="492">
        <f>P86+Q86+R86+S86+T86+U86</f>
        <v>0</v>
      </c>
      <c r="W86" s="325">
        <v>0</v>
      </c>
      <c r="X86" s="325">
        <v>0</v>
      </c>
      <c r="Y86" s="325">
        <v>0</v>
      </c>
      <c r="Z86" s="492">
        <f>W86+X86+Y86</f>
        <v>0</v>
      </c>
      <c r="AA86" s="492">
        <f>V86+Z86</f>
        <v>0</v>
      </c>
      <c r="AB86" s="494">
        <f>ROUND((V86+Z86)*33.8%,0)</f>
        <v>0</v>
      </c>
      <c r="AC86" s="494">
        <f>ROUND(V86*1%,0)</f>
        <v>0</v>
      </c>
      <c r="AD86" s="492">
        <v>0</v>
      </c>
      <c r="AE86" s="753">
        <f t="shared" si="74"/>
        <v>0</v>
      </c>
      <c r="AF86" s="813">
        <v>0</v>
      </c>
      <c r="AG86" s="729">
        <v>0</v>
      </c>
      <c r="AH86" s="728">
        <v>0</v>
      </c>
      <c r="AI86" s="728">
        <v>0</v>
      </c>
      <c r="AJ86" s="326">
        <v>0</v>
      </c>
      <c r="AK86" s="326">
        <v>0</v>
      </c>
      <c r="AL86" s="609">
        <f>SUM(AF86:AK86)</f>
        <v>0</v>
      </c>
      <c r="AM86" s="676">
        <f>I86+AE86</f>
        <v>12382790</v>
      </c>
      <c r="AN86" s="492">
        <f>J86+V86</f>
        <v>9186046</v>
      </c>
      <c r="AO86" s="573">
        <f>K86+Z86</f>
        <v>0</v>
      </c>
      <c r="AP86" s="492">
        <f t="shared" si="75"/>
        <v>3104883</v>
      </c>
      <c r="AQ86" s="492">
        <f t="shared" si="75"/>
        <v>91861</v>
      </c>
      <c r="AR86" s="492">
        <f t="shared" si="75"/>
        <v>0</v>
      </c>
      <c r="AS86" s="609">
        <f>O86+AL86</f>
        <v>13.136100000000001</v>
      </c>
    </row>
    <row r="87" spans="1:45" ht="12.95" customHeight="1" x14ac:dyDescent="0.25">
      <c r="A87" s="205">
        <v>21</v>
      </c>
      <c r="B87" s="143">
        <v>3427</v>
      </c>
      <c r="C87" s="143">
        <v>650023340</v>
      </c>
      <c r="D87" s="206">
        <v>70982988</v>
      </c>
      <c r="E87" s="295" t="s">
        <v>475</v>
      </c>
      <c r="F87" s="143">
        <v>3113</v>
      </c>
      <c r="G87" s="248" t="s">
        <v>278</v>
      </c>
      <c r="H87" s="210" t="s">
        <v>263</v>
      </c>
      <c r="I87" s="580">
        <v>3760118</v>
      </c>
      <c r="J87" s="490">
        <v>2789405</v>
      </c>
      <c r="K87" s="490">
        <v>0</v>
      </c>
      <c r="L87" s="55">
        <v>942819</v>
      </c>
      <c r="M87" s="55">
        <v>27894</v>
      </c>
      <c r="N87" s="490">
        <v>0</v>
      </c>
      <c r="O87" s="719">
        <v>6.8199999999999994</v>
      </c>
      <c r="P87" s="327">
        <f t="shared" si="73"/>
        <v>0</v>
      </c>
      <c r="Q87" s="573">
        <f>44151+33067</f>
        <v>77218</v>
      </c>
      <c r="R87" s="325">
        <v>0</v>
      </c>
      <c r="S87" s="325">
        <v>0</v>
      </c>
      <c r="T87" s="325">
        <v>0</v>
      </c>
      <c r="U87" s="325">
        <v>0</v>
      </c>
      <c r="V87" s="492">
        <f>P87+Q87+R87+S87+T87+U87</f>
        <v>77218</v>
      </c>
      <c r="W87" s="325">
        <v>0</v>
      </c>
      <c r="X87" s="325">
        <v>0</v>
      </c>
      <c r="Y87" s="325">
        <v>0</v>
      </c>
      <c r="Z87" s="492">
        <f>W87+X87+Y87</f>
        <v>0</v>
      </c>
      <c r="AA87" s="492">
        <f>V87+Z87</f>
        <v>77218</v>
      </c>
      <c r="AB87" s="494">
        <f>ROUND((V87+Z87)*33.8%,0)</f>
        <v>26100</v>
      </c>
      <c r="AC87" s="494">
        <f>ROUND(V87*1%,0)</f>
        <v>772</v>
      </c>
      <c r="AD87" s="492">
        <v>0</v>
      </c>
      <c r="AE87" s="753">
        <f t="shared" si="74"/>
        <v>104090</v>
      </c>
      <c r="AF87" s="813">
        <v>0</v>
      </c>
      <c r="AG87" s="729">
        <f>0.08+0.08</f>
        <v>0.16</v>
      </c>
      <c r="AH87" s="728">
        <v>0</v>
      </c>
      <c r="AI87" s="728">
        <v>0</v>
      </c>
      <c r="AJ87" s="326">
        <v>0</v>
      </c>
      <c r="AK87" s="326">
        <v>0</v>
      </c>
      <c r="AL87" s="609">
        <f>SUM(AF87:AK87)</f>
        <v>0.16</v>
      </c>
      <c r="AM87" s="676">
        <f>I87+AE87</f>
        <v>3864208</v>
      </c>
      <c r="AN87" s="492">
        <f>J87+V87</f>
        <v>2866623</v>
      </c>
      <c r="AO87" s="573">
        <f>K87+Z87</f>
        <v>0</v>
      </c>
      <c r="AP87" s="492">
        <f t="shared" si="75"/>
        <v>968919</v>
      </c>
      <c r="AQ87" s="492">
        <f t="shared" si="75"/>
        <v>28666</v>
      </c>
      <c r="AR87" s="492">
        <f t="shared" si="75"/>
        <v>0</v>
      </c>
      <c r="AS87" s="609">
        <f>O87+AL87</f>
        <v>6.9799999999999995</v>
      </c>
    </row>
    <row r="88" spans="1:45" ht="12.95" customHeight="1" x14ac:dyDescent="0.25">
      <c r="A88" s="205">
        <v>21</v>
      </c>
      <c r="B88" s="143">
        <v>3427</v>
      </c>
      <c r="C88" s="143">
        <v>650023340</v>
      </c>
      <c r="D88" s="206">
        <v>70982988</v>
      </c>
      <c r="E88" s="295" t="s">
        <v>475</v>
      </c>
      <c r="F88" s="143">
        <v>3143</v>
      </c>
      <c r="G88" s="248" t="s">
        <v>794</v>
      </c>
      <c r="H88" s="210" t="s">
        <v>262</v>
      </c>
      <c r="I88" s="580">
        <v>1442801</v>
      </c>
      <c r="J88" s="490">
        <v>1070327</v>
      </c>
      <c r="K88" s="490">
        <v>0</v>
      </c>
      <c r="L88" s="55">
        <v>361771</v>
      </c>
      <c r="M88" s="55">
        <v>10703</v>
      </c>
      <c r="N88" s="490">
        <v>0</v>
      </c>
      <c r="O88" s="719">
        <v>2.0535999999999999</v>
      </c>
      <c r="P88" s="327">
        <f t="shared" si="73"/>
        <v>0</v>
      </c>
      <c r="Q88" s="573">
        <v>0</v>
      </c>
      <c r="R88" s="325">
        <v>0</v>
      </c>
      <c r="S88" s="325">
        <v>0</v>
      </c>
      <c r="T88" s="325">
        <v>0</v>
      </c>
      <c r="U88" s="325">
        <v>0</v>
      </c>
      <c r="V88" s="492">
        <f>P88+Q88+R88+S88+T88+U88</f>
        <v>0</v>
      </c>
      <c r="W88" s="325">
        <v>0</v>
      </c>
      <c r="X88" s="325">
        <v>0</v>
      </c>
      <c r="Y88" s="325">
        <v>0</v>
      </c>
      <c r="Z88" s="492">
        <f>W88+X88+Y88</f>
        <v>0</v>
      </c>
      <c r="AA88" s="492">
        <f>V88+Z88</f>
        <v>0</v>
      </c>
      <c r="AB88" s="494">
        <f>ROUND((V88+Z88)*33.8%,0)</f>
        <v>0</v>
      </c>
      <c r="AC88" s="494">
        <f>ROUND(V88*1%,0)</f>
        <v>0</v>
      </c>
      <c r="AD88" s="492">
        <v>0</v>
      </c>
      <c r="AE88" s="753">
        <f t="shared" si="74"/>
        <v>0</v>
      </c>
      <c r="AF88" s="813">
        <v>0</v>
      </c>
      <c r="AG88" s="729">
        <v>0</v>
      </c>
      <c r="AH88" s="728">
        <v>0</v>
      </c>
      <c r="AI88" s="728">
        <v>0</v>
      </c>
      <c r="AJ88" s="326">
        <v>0</v>
      </c>
      <c r="AK88" s="326">
        <v>0</v>
      </c>
      <c r="AL88" s="609">
        <f>SUM(AF88:AK88)</f>
        <v>0</v>
      </c>
      <c r="AM88" s="676">
        <f>I88+AE88</f>
        <v>1442801</v>
      </c>
      <c r="AN88" s="492">
        <f>J88+V88</f>
        <v>1070327</v>
      </c>
      <c r="AO88" s="573">
        <f>K88+Z88</f>
        <v>0</v>
      </c>
      <c r="AP88" s="492">
        <f t="shared" si="75"/>
        <v>361771</v>
      </c>
      <c r="AQ88" s="492">
        <f t="shared" si="75"/>
        <v>10703</v>
      </c>
      <c r="AR88" s="492">
        <f t="shared" si="75"/>
        <v>0</v>
      </c>
      <c r="AS88" s="609">
        <f>O88+AL88</f>
        <v>2.0535999999999999</v>
      </c>
    </row>
    <row r="89" spans="1:45" ht="12.95" customHeight="1" x14ac:dyDescent="0.25">
      <c r="A89" s="144">
        <v>21</v>
      </c>
      <c r="B89" s="42">
        <v>3427</v>
      </c>
      <c r="C89" s="42">
        <v>650023340</v>
      </c>
      <c r="D89" s="42">
        <v>70982988</v>
      </c>
      <c r="E89" s="297" t="s">
        <v>476</v>
      </c>
      <c r="F89" s="41"/>
      <c r="G89" s="297"/>
      <c r="H89" s="128"/>
      <c r="I89" s="650">
        <v>20844952</v>
      </c>
      <c r="J89" s="568">
        <v>15463614</v>
      </c>
      <c r="K89" s="568">
        <v>0</v>
      </c>
      <c r="L89" s="368">
        <v>5226702</v>
      </c>
      <c r="M89" s="368">
        <v>154636</v>
      </c>
      <c r="N89" s="568">
        <v>0</v>
      </c>
      <c r="O89" s="734">
        <v>26.009699999999999</v>
      </c>
      <c r="P89" s="655">
        <f t="shared" ref="P89:AS89" si="76">SUM(P85:P88)</f>
        <v>0</v>
      </c>
      <c r="Q89" s="467">
        <f t="shared" si="76"/>
        <v>77218</v>
      </c>
      <c r="R89" s="368">
        <f t="shared" si="76"/>
        <v>0</v>
      </c>
      <c r="S89" s="368">
        <f t="shared" si="76"/>
        <v>0</v>
      </c>
      <c r="T89" s="368">
        <f t="shared" si="76"/>
        <v>0</v>
      </c>
      <c r="U89" s="368">
        <f t="shared" si="76"/>
        <v>0</v>
      </c>
      <c r="V89" s="368">
        <f t="shared" si="76"/>
        <v>77218</v>
      </c>
      <c r="W89" s="368">
        <f t="shared" si="76"/>
        <v>0</v>
      </c>
      <c r="X89" s="368">
        <f t="shared" si="76"/>
        <v>0</v>
      </c>
      <c r="Y89" s="368">
        <f t="shared" si="76"/>
        <v>0</v>
      </c>
      <c r="Z89" s="368">
        <f t="shared" si="76"/>
        <v>0</v>
      </c>
      <c r="AA89" s="368">
        <f t="shared" si="76"/>
        <v>77218</v>
      </c>
      <c r="AB89" s="368">
        <f t="shared" si="76"/>
        <v>26100</v>
      </c>
      <c r="AC89" s="368">
        <f t="shared" si="76"/>
        <v>772</v>
      </c>
      <c r="AD89" s="368">
        <f t="shared" si="76"/>
        <v>0</v>
      </c>
      <c r="AE89" s="809">
        <f t="shared" si="76"/>
        <v>104090</v>
      </c>
      <c r="AF89" s="816">
        <f t="shared" si="76"/>
        <v>0</v>
      </c>
      <c r="AG89" s="735">
        <f t="shared" si="76"/>
        <v>0.16</v>
      </c>
      <c r="AH89" s="735">
        <f t="shared" si="76"/>
        <v>0</v>
      </c>
      <c r="AI89" s="735">
        <f t="shared" si="76"/>
        <v>0</v>
      </c>
      <c r="AJ89" s="369">
        <f t="shared" si="76"/>
        <v>0</v>
      </c>
      <c r="AK89" s="369">
        <f t="shared" si="76"/>
        <v>0</v>
      </c>
      <c r="AL89" s="302">
        <f t="shared" si="76"/>
        <v>0.16</v>
      </c>
      <c r="AM89" s="655">
        <f t="shared" si="76"/>
        <v>20949042</v>
      </c>
      <c r="AN89" s="467">
        <f t="shared" si="76"/>
        <v>15540832</v>
      </c>
      <c r="AO89" s="368">
        <f t="shared" si="76"/>
        <v>0</v>
      </c>
      <c r="AP89" s="368">
        <f t="shared" si="76"/>
        <v>5252802</v>
      </c>
      <c r="AQ89" s="368">
        <f t="shared" si="76"/>
        <v>155408</v>
      </c>
      <c r="AR89" s="368">
        <f t="shared" si="76"/>
        <v>0</v>
      </c>
      <c r="AS89" s="302">
        <f t="shared" si="76"/>
        <v>26.169699999999999</v>
      </c>
    </row>
    <row r="90" spans="1:45" ht="12.95" customHeight="1" x14ac:dyDescent="0.25">
      <c r="A90" s="205">
        <v>22</v>
      </c>
      <c r="B90" s="143">
        <v>5484</v>
      </c>
      <c r="C90" s="143">
        <v>600098532</v>
      </c>
      <c r="D90" s="206">
        <v>72743255</v>
      </c>
      <c r="E90" s="295" t="s">
        <v>477</v>
      </c>
      <c r="F90" s="143">
        <v>3111</v>
      </c>
      <c r="G90" s="296" t="s">
        <v>290</v>
      </c>
      <c r="H90" s="210" t="s">
        <v>262</v>
      </c>
      <c r="I90" s="580">
        <v>5295642</v>
      </c>
      <c r="J90" s="490">
        <v>3904696</v>
      </c>
      <c r="K90" s="490">
        <v>24000</v>
      </c>
      <c r="L90" s="55">
        <v>1327899</v>
      </c>
      <c r="M90" s="55">
        <v>39047</v>
      </c>
      <c r="N90" s="490">
        <v>0</v>
      </c>
      <c r="O90" s="719">
        <v>7</v>
      </c>
      <c r="P90" s="552">
        <f>W90*-1</f>
        <v>-16000</v>
      </c>
      <c r="Q90" s="573">
        <v>0</v>
      </c>
      <c r="R90" s="325">
        <v>0</v>
      </c>
      <c r="S90" s="325">
        <v>0</v>
      </c>
      <c r="T90" s="325">
        <v>0</v>
      </c>
      <c r="U90" s="325">
        <v>0</v>
      </c>
      <c r="V90" s="492">
        <f>P90+Q90+R90+S90+T90+U90</f>
        <v>-16000</v>
      </c>
      <c r="W90" s="325">
        <v>16000</v>
      </c>
      <c r="X90" s="325">
        <v>0</v>
      </c>
      <c r="Y90" s="325">
        <v>0</v>
      </c>
      <c r="Z90" s="492">
        <f>W90+X90+Y90</f>
        <v>16000</v>
      </c>
      <c r="AA90" s="492">
        <f>V90+Z90</f>
        <v>0</v>
      </c>
      <c r="AB90" s="494">
        <f>ROUND((V90+Z90)*33.8%,0)</f>
        <v>0</v>
      </c>
      <c r="AC90" s="494">
        <f>ROUND(V90*1%,0)</f>
        <v>-160</v>
      </c>
      <c r="AD90" s="492">
        <v>0</v>
      </c>
      <c r="AE90" s="753">
        <f t="shared" ref="AE90:AE91" si="77">AA90+AB90+AC90+AD90</f>
        <v>-160</v>
      </c>
      <c r="AF90" s="813">
        <v>0</v>
      </c>
      <c r="AG90" s="729">
        <v>0</v>
      </c>
      <c r="AH90" s="728">
        <v>0</v>
      </c>
      <c r="AI90" s="728">
        <v>0</v>
      </c>
      <c r="AJ90" s="326">
        <v>0</v>
      </c>
      <c r="AK90" s="326">
        <v>0</v>
      </c>
      <c r="AL90" s="609">
        <f>SUM(AF90:AK90)</f>
        <v>0</v>
      </c>
      <c r="AM90" s="676">
        <f>I90+AE90</f>
        <v>5295482</v>
      </c>
      <c r="AN90" s="492">
        <f>J90+V90</f>
        <v>3888696</v>
      </c>
      <c r="AO90" s="573">
        <f>K90+Z90</f>
        <v>40000</v>
      </c>
      <c r="AP90" s="492">
        <f t="shared" ref="AP90:AR91" si="78">L90+AB90</f>
        <v>1327899</v>
      </c>
      <c r="AQ90" s="492">
        <f t="shared" si="78"/>
        <v>38887</v>
      </c>
      <c r="AR90" s="492">
        <f t="shared" si="78"/>
        <v>0</v>
      </c>
      <c r="AS90" s="609">
        <f>O90+AL90</f>
        <v>7</v>
      </c>
    </row>
    <row r="91" spans="1:45" ht="12.95" customHeight="1" x14ac:dyDescent="0.25">
      <c r="A91" s="205">
        <v>22</v>
      </c>
      <c r="B91" s="143">
        <v>5484</v>
      </c>
      <c r="C91" s="143">
        <v>600098532</v>
      </c>
      <c r="D91" s="206">
        <v>72743255</v>
      </c>
      <c r="E91" s="295" t="s">
        <v>477</v>
      </c>
      <c r="F91" s="143">
        <v>3111</v>
      </c>
      <c r="G91" s="296" t="s">
        <v>278</v>
      </c>
      <c r="H91" s="210" t="s">
        <v>263</v>
      </c>
      <c r="I91" s="580">
        <v>267475</v>
      </c>
      <c r="J91" s="490">
        <v>198424</v>
      </c>
      <c r="K91" s="490">
        <v>0</v>
      </c>
      <c r="L91" s="55">
        <v>67067</v>
      </c>
      <c r="M91" s="55">
        <v>1984</v>
      </c>
      <c r="N91" s="490">
        <v>0</v>
      </c>
      <c r="O91" s="719">
        <v>0.5</v>
      </c>
      <c r="P91" s="327">
        <f>W91*-1</f>
        <v>0</v>
      </c>
      <c r="Q91" s="573">
        <v>0</v>
      </c>
      <c r="R91" s="325">
        <v>0</v>
      </c>
      <c r="S91" s="325">
        <v>0</v>
      </c>
      <c r="T91" s="325">
        <v>0</v>
      </c>
      <c r="U91" s="325">
        <v>0</v>
      </c>
      <c r="V91" s="492">
        <f>P91+Q91+R91+S91+T91+U91</f>
        <v>0</v>
      </c>
      <c r="W91" s="325">
        <v>0</v>
      </c>
      <c r="X91" s="325">
        <v>0</v>
      </c>
      <c r="Y91" s="325">
        <v>0</v>
      </c>
      <c r="Z91" s="492">
        <f>W91+X91+Y91</f>
        <v>0</v>
      </c>
      <c r="AA91" s="492">
        <f>V91+Z91</f>
        <v>0</v>
      </c>
      <c r="AB91" s="494">
        <f>ROUND((V91+Z91)*33.8%,0)</f>
        <v>0</v>
      </c>
      <c r="AC91" s="494">
        <f>ROUND(V91*1%,0)</f>
        <v>0</v>
      </c>
      <c r="AD91" s="492">
        <v>0</v>
      </c>
      <c r="AE91" s="753">
        <f t="shared" si="77"/>
        <v>0</v>
      </c>
      <c r="AF91" s="813">
        <v>0</v>
      </c>
      <c r="AG91" s="729">
        <v>0</v>
      </c>
      <c r="AH91" s="728">
        <v>0</v>
      </c>
      <c r="AI91" s="728">
        <v>0</v>
      </c>
      <c r="AJ91" s="326">
        <v>0</v>
      </c>
      <c r="AK91" s="326">
        <v>0</v>
      </c>
      <c r="AL91" s="609">
        <f>SUM(AF91:AK91)</f>
        <v>0</v>
      </c>
      <c r="AM91" s="676">
        <f>I91+AE91</f>
        <v>267475</v>
      </c>
      <c r="AN91" s="492">
        <f>J91+V91</f>
        <v>198424</v>
      </c>
      <c r="AO91" s="573">
        <f>K91+Z91</f>
        <v>0</v>
      </c>
      <c r="AP91" s="492">
        <f t="shared" si="78"/>
        <v>67067</v>
      </c>
      <c r="AQ91" s="492">
        <f t="shared" si="78"/>
        <v>1984</v>
      </c>
      <c r="AR91" s="492">
        <f t="shared" si="78"/>
        <v>0</v>
      </c>
      <c r="AS91" s="609">
        <f>O91+AL91</f>
        <v>0.5</v>
      </c>
    </row>
    <row r="92" spans="1:45" ht="12.95" customHeight="1" x14ac:dyDescent="0.25">
      <c r="A92" s="144">
        <v>22</v>
      </c>
      <c r="B92" s="41">
        <v>5484</v>
      </c>
      <c r="C92" s="41">
        <v>600098532</v>
      </c>
      <c r="D92" s="41">
        <v>72743255</v>
      </c>
      <c r="E92" s="297" t="s">
        <v>478</v>
      </c>
      <c r="F92" s="41"/>
      <c r="G92" s="297"/>
      <c r="H92" s="128"/>
      <c r="I92" s="649">
        <v>5563117</v>
      </c>
      <c r="J92" s="567">
        <v>4103120</v>
      </c>
      <c r="K92" s="567">
        <v>24000</v>
      </c>
      <c r="L92" s="351">
        <v>1394966</v>
      </c>
      <c r="M92" s="351">
        <v>41031</v>
      </c>
      <c r="N92" s="567">
        <v>0</v>
      </c>
      <c r="O92" s="732">
        <v>7.5</v>
      </c>
      <c r="P92" s="654">
        <f t="shared" ref="P92:AS92" si="79">SUM(P90:P91)</f>
        <v>-16000</v>
      </c>
      <c r="Q92" s="466">
        <f t="shared" si="79"/>
        <v>0</v>
      </c>
      <c r="R92" s="351">
        <f t="shared" si="79"/>
        <v>0</v>
      </c>
      <c r="S92" s="351">
        <f t="shared" si="79"/>
        <v>0</v>
      </c>
      <c r="T92" s="351">
        <f t="shared" si="79"/>
        <v>0</v>
      </c>
      <c r="U92" s="351">
        <f t="shared" si="79"/>
        <v>0</v>
      </c>
      <c r="V92" s="351">
        <f t="shared" si="79"/>
        <v>-16000</v>
      </c>
      <c r="W92" s="351">
        <f t="shared" si="79"/>
        <v>16000</v>
      </c>
      <c r="X92" s="351">
        <f t="shared" si="79"/>
        <v>0</v>
      </c>
      <c r="Y92" s="351">
        <f t="shared" si="79"/>
        <v>0</v>
      </c>
      <c r="Z92" s="351">
        <f t="shared" si="79"/>
        <v>16000</v>
      </c>
      <c r="AA92" s="351">
        <f t="shared" si="79"/>
        <v>0</v>
      </c>
      <c r="AB92" s="351">
        <f t="shared" si="79"/>
        <v>0</v>
      </c>
      <c r="AC92" s="351">
        <f t="shared" si="79"/>
        <v>-160</v>
      </c>
      <c r="AD92" s="351">
        <f t="shared" si="79"/>
        <v>0</v>
      </c>
      <c r="AE92" s="808">
        <f t="shared" si="79"/>
        <v>-160</v>
      </c>
      <c r="AF92" s="815">
        <f t="shared" si="79"/>
        <v>0</v>
      </c>
      <c r="AG92" s="733">
        <f t="shared" si="79"/>
        <v>0</v>
      </c>
      <c r="AH92" s="733">
        <f t="shared" si="79"/>
        <v>0</v>
      </c>
      <c r="AI92" s="733">
        <f t="shared" si="79"/>
        <v>0</v>
      </c>
      <c r="AJ92" s="352">
        <f t="shared" si="79"/>
        <v>0</v>
      </c>
      <c r="AK92" s="352">
        <f t="shared" si="79"/>
        <v>0</v>
      </c>
      <c r="AL92" s="204">
        <f t="shared" si="79"/>
        <v>0</v>
      </c>
      <c r="AM92" s="654">
        <f t="shared" si="79"/>
        <v>5562957</v>
      </c>
      <c r="AN92" s="466">
        <f t="shared" si="79"/>
        <v>4087120</v>
      </c>
      <c r="AO92" s="351">
        <f t="shared" si="79"/>
        <v>40000</v>
      </c>
      <c r="AP92" s="351">
        <f t="shared" si="79"/>
        <v>1394966</v>
      </c>
      <c r="AQ92" s="351">
        <f t="shared" si="79"/>
        <v>40871</v>
      </c>
      <c r="AR92" s="351">
        <f t="shared" si="79"/>
        <v>0</v>
      </c>
      <c r="AS92" s="204">
        <f t="shared" si="79"/>
        <v>7.5</v>
      </c>
    </row>
    <row r="93" spans="1:45" ht="12.95" customHeight="1" x14ac:dyDescent="0.25">
      <c r="A93" s="205">
        <v>23</v>
      </c>
      <c r="B93" s="143">
        <v>5485</v>
      </c>
      <c r="C93" s="143">
        <v>600099300</v>
      </c>
      <c r="D93" s="206">
        <v>72743174</v>
      </c>
      <c r="E93" s="295" t="s">
        <v>479</v>
      </c>
      <c r="F93" s="143">
        <v>3117</v>
      </c>
      <c r="G93" s="295" t="s">
        <v>294</v>
      </c>
      <c r="H93" s="210" t="s">
        <v>262</v>
      </c>
      <c r="I93" s="580">
        <v>5458049</v>
      </c>
      <c r="J93" s="490">
        <v>4048998</v>
      </c>
      <c r="K93" s="490">
        <v>0</v>
      </c>
      <c r="L93" s="55">
        <v>1368561</v>
      </c>
      <c r="M93" s="55">
        <v>40490</v>
      </c>
      <c r="N93" s="490">
        <v>0</v>
      </c>
      <c r="O93" s="719">
        <v>6.1361999999999997</v>
      </c>
      <c r="P93" s="552">
        <f>W93*-1</f>
        <v>0</v>
      </c>
      <c r="Q93" s="573">
        <v>0</v>
      </c>
      <c r="R93" s="325">
        <v>0</v>
      </c>
      <c r="S93" s="325">
        <v>0</v>
      </c>
      <c r="T93" s="325">
        <v>0</v>
      </c>
      <c r="U93" s="325">
        <v>0</v>
      </c>
      <c r="V93" s="492">
        <f>P93+Q93+R93+S93+T93+U93</f>
        <v>0</v>
      </c>
      <c r="W93" s="325">
        <v>0</v>
      </c>
      <c r="X93" s="325">
        <v>0</v>
      </c>
      <c r="Y93" s="325">
        <v>0</v>
      </c>
      <c r="Z93" s="492">
        <f>W93+X93+Y93</f>
        <v>0</v>
      </c>
      <c r="AA93" s="492">
        <f>V93+Z93</f>
        <v>0</v>
      </c>
      <c r="AB93" s="494">
        <f>ROUND((V93+Z93)*33.8%,0)</f>
        <v>0</v>
      </c>
      <c r="AC93" s="494">
        <f>ROUND(V93*1%,0)</f>
        <v>0</v>
      </c>
      <c r="AD93" s="492">
        <v>0</v>
      </c>
      <c r="AE93" s="753">
        <f t="shared" ref="AE93:AE95" si="80">AA93+AB93+AC93+AD93</f>
        <v>0</v>
      </c>
      <c r="AF93" s="813">
        <v>0</v>
      </c>
      <c r="AG93" s="729">
        <v>0</v>
      </c>
      <c r="AH93" s="728">
        <v>0</v>
      </c>
      <c r="AI93" s="728">
        <v>0</v>
      </c>
      <c r="AJ93" s="326">
        <v>0</v>
      </c>
      <c r="AK93" s="326">
        <v>0</v>
      </c>
      <c r="AL93" s="609">
        <f>SUM(AF93:AK93)</f>
        <v>0</v>
      </c>
      <c r="AM93" s="676">
        <f>I93+AE93</f>
        <v>5458049</v>
      </c>
      <c r="AN93" s="492">
        <f>J93+V93</f>
        <v>4048998</v>
      </c>
      <c r="AO93" s="573">
        <f>K93+Z93</f>
        <v>0</v>
      </c>
      <c r="AP93" s="492">
        <f t="shared" ref="AP93:AR95" si="81">L93+AB93</f>
        <v>1368561</v>
      </c>
      <c r="AQ93" s="492">
        <f t="shared" si="81"/>
        <v>40490</v>
      </c>
      <c r="AR93" s="492">
        <f t="shared" si="81"/>
        <v>0</v>
      </c>
      <c r="AS93" s="609">
        <f>O93+AL93</f>
        <v>6.1361999999999997</v>
      </c>
    </row>
    <row r="94" spans="1:45" ht="12.95" customHeight="1" x14ac:dyDescent="0.25">
      <c r="A94" s="205">
        <v>23</v>
      </c>
      <c r="B94" s="143">
        <v>5485</v>
      </c>
      <c r="C94" s="143">
        <v>600099300</v>
      </c>
      <c r="D94" s="206">
        <v>72743174</v>
      </c>
      <c r="E94" s="294" t="s">
        <v>479</v>
      </c>
      <c r="F94" s="143">
        <v>3117</v>
      </c>
      <c r="G94" s="248" t="s">
        <v>278</v>
      </c>
      <c r="H94" s="210" t="s">
        <v>263</v>
      </c>
      <c r="I94" s="580">
        <v>1042662</v>
      </c>
      <c r="J94" s="490">
        <v>773488</v>
      </c>
      <c r="K94" s="490">
        <v>0</v>
      </c>
      <c r="L94" s="55">
        <v>261439</v>
      </c>
      <c r="M94" s="55">
        <v>7735</v>
      </c>
      <c r="N94" s="490">
        <v>0</v>
      </c>
      <c r="O94" s="719">
        <v>2.06</v>
      </c>
      <c r="P94" s="327">
        <f>W94*-1</f>
        <v>0</v>
      </c>
      <c r="Q94" s="573">
        <v>19868</v>
      </c>
      <c r="R94" s="325">
        <v>0</v>
      </c>
      <c r="S94" s="325">
        <v>0</v>
      </c>
      <c r="T94" s="325">
        <v>0</v>
      </c>
      <c r="U94" s="325">
        <v>0</v>
      </c>
      <c r="V94" s="492">
        <f>P94+Q94+R94+S94+T94+U94</f>
        <v>19868</v>
      </c>
      <c r="W94" s="325">
        <v>0</v>
      </c>
      <c r="X94" s="325">
        <v>0</v>
      </c>
      <c r="Y94" s="325">
        <v>0</v>
      </c>
      <c r="Z94" s="492">
        <f>W94+X94+Y94</f>
        <v>0</v>
      </c>
      <c r="AA94" s="492">
        <f>V94+Z94</f>
        <v>19868</v>
      </c>
      <c r="AB94" s="494">
        <f>ROUND((V94+Z94)*33.8%,0)</f>
        <v>6715</v>
      </c>
      <c r="AC94" s="494">
        <f>ROUND(V94*1%,0)</f>
        <v>199</v>
      </c>
      <c r="AD94" s="492">
        <v>0</v>
      </c>
      <c r="AE94" s="753">
        <f t="shared" si="80"/>
        <v>26782</v>
      </c>
      <c r="AF94" s="813">
        <v>0</v>
      </c>
      <c r="AG94" s="729">
        <v>0.04</v>
      </c>
      <c r="AH94" s="728">
        <v>0</v>
      </c>
      <c r="AI94" s="728">
        <v>0</v>
      </c>
      <c r="AJ94" s="326">
        <v>0</v>
      </c>
      <c r="AK94" s="326">
        <v>0</v>
      </c>
      <c r="AL94" s="609">
        <f>SUM(AF94:AK94)</f>
        <v>0.04</v>
      </c>
      <c r="AM94" s="676">
        <f>I94+AE94</f>
        <v>1069444</v>
      </c>
      <c r="AN94" s="492">
        <f>J94+V94</f>
        <v>793356</v>
      </c>
      <c r="AO94" s="573">
        <f>K94+Z94</f>
        <v>0</v>
      </c>
      <c r="AP94" s="492">
        <f t="shared" si="81"/>
        <v>268154</v>
      </c>
      <c r="AQ94" s="492">
        <f t="shared" si="81"/>
        <v>7934</v>
      </c>
      <c r="AR94" s="492">
        <f t="shared" si="81"/>
        <v>0</v>
      </c>
      <c r="AS94" s="609">
        <f>O94+AL94</f>
        <v>2.1</v>
      </c>
    </row>
    <row r="95" spans="1:45" ht="12.95" customHeight="1" x14ac:dyDescent="0.25">
      <c r="A95" s="205">
        <v>23</v>
      </c>
      <c r="B95" s="143">
        <v>5485</v>
      </c>
      <c r="C95" s="143">
        <v>600099300</v>
      </c>
      <c r="D95" s="206">
        <v>72743174</v>
      </c>
      <c r="E95" s="294" t="s">
        <v>479</v>
      </c>
      <c r="F95" s="305">
        <v>3143</v>
      </c>
      <c r="G95" s="248" t="s">
        <v>794</v>
      </c>
      <c r="H95" s="210" t="s">
        <v>262</v>
      </c>
      <c r="I95" s="580">
        <v>980764</v>
      </c>
      <c r="J95" s="490">
        <v>709703</v>
      </c>
      <c r="K95" s="490">
        <v>18000</v>
      </c>
      <c r="L95" s="55">
        <v>245964</v>
      </c>
      <c r="M95" s="55">
        <v>7097</v>
      </c>
      <c r="N95" s="490">
        <v>0</v>
      </c>
      <c r="O95" s="719">
        <v>1.35</v>
      </c>
      <c r="P95" s="327">
        <f>W95*-1</f>
        <v>-12000</v>
      </c>
      <c r="Q95" s="573">
        <v>0</v>
      </c>
      <c r="R95" s="325">
        <v>0</v>
      </c>
      <c r="S95" s="325">
        <v>0</v>
      </c>
      <c r="T95" s="325">
        <v>0</v>
      </c>
      <c r="U95" s="325">
        <v>0</v>
      </c>
      <c r="V95" s="492">
        <f>P95+Q95+R95+S95+T95+U95</f>
        <v>-12000</v>
      </c>
      <c r="W95" s="325">
        <v>12000</v>
      </c>
      <c r="X95" s="325">
        <v>0</v>
      </c>
      <c r="Y95" s="325">
        <v>0</v>
      </c>
      <c r="Z95" s="492">
        <f>W95+X95+Y95</f>
        <v>12000</v>
      </c>
      <c r="AA95" s="492">
        <f>V95+Z95</f>
        <v>0</v>
      </c>
      <c r="AB95" s="494">
        <f>ROUND((V95+Z95)*33.8%,0)</f>
        <v>0</v>
      </c>
      <c r="AC95" s="494">
        <f>ROUND(V95*1%,0)</f>
        <v>-120</v>
      </c>
      <c r="AD95" s="492">
        <v>0</v>
      </c>
      <c r="AE95" s="753">
        <f t="shared" si="80"/>
        <v>-120</v>
      </c>
      <c r="AF95" s="813">
        <v>0</v>
      </c>
      <c r="AG95" s="729">
        <v>0</v>
      </c>
      <c r="AH95" s="728">
        <v>0</v>
      </c>
      <c r="AI95" s="728">
        <v>0</v>
      </c>
      <c r="AJ95" s="326">
        <v>0</v>
      </c>
      <c r="AK95" s="326">
        <v>0</v>
      </c>
      <c r="AL95" s="609">
        <f>SUM(AF95:AK95)</f>
        <v>0</v>
      </c>
      <c r="AM95" s="676">
        <f>I95+AE95</f>
        <v>980644</v>
      </c>
      <c r="AN95" s="492">
        <f>J95+V95</f>
        <v>697703</v>
      </c>
      <c r="AO95" s="573">
        <f>K95+Z95</f>
        <v>30000</v>
      </c>
      <c r="AP95" s="492">
        <f t="shared" si="81"/>
        <v>245964</v>
      </c>
      <c r="AQ95" s="492">
        <f t="shared" si="81"/>
        <v>6977</v>
      </c>
      <c r="AR95" s="492">
        <f t="shared" si="81"/>
        <v>0</v>
      </c>
      <c r="AS95" s="609">
        <f>O95+AL95</f>
        <v>1.35</v>
      </c>
    </row>
    <row r="96" spans="1:45" ht="12.95" customHeight="1" x14ac:dyDescent="0.25">
      <c r="A96" s="144">
        <v>23</v>
      </c>
      <c r="B96" s="42">
        <v>5485</v>
      </c>
      <c r="C96" s="42">
        <v>600099300</v>
      </c>
      <c r="D96" s="42">
        <v>72743174</v>
      </c>
      <c r="E96" s="306" t="s">
        <v>480</v>
      </c>
      <c r="F96" s="311"/>
      <c r="G96" s="310"/>
      <c r="H96" s="131"/>
      <c r="I96" s="649">
        <v>7481475</v>
      </c>
      <c r="J96" s="567">
        <v>5532189</v>
      </c>
      <c r="K96" s="567">
        <v>18000</v>
      </c>
      <c r="L96" s="351">
        <v>1875964</v>
      </c>
      <c r="M96" s="351">
        <v>55322</v>
      </c>
      <c r="N96" s="567">
        <v>0</v>
      </c>
      <c r="O96" s="732">
        <v>9.5461999999999989</v>
      </c>
      <c r="P96" s="654">
        <f t="shared" ref="P96:AS96" si="82">SUM(P93:P95)</f>
        <v>-12000</v>
      </c>
      <c r="Q96" s="466">
        <f t="shared" si="82"/>
        <v>19868</v>
      </c>
      <c r="R96" s="351">
        <f t="shared" si="82"/>
        <v>0</v>
      </c>
      <c r="S96" s="351">
        <f t="shared" si="82"/>
        <v>0</v>
      </c>
      <c r="T96" s="351">
        <f t="shared" si="82"/>
        <v>0</v>
      </c>
      <c r="U96" s="351">
        <f t="shared" si="82"/>
        <v>0</v>
      </c>
      <c r="V96" s="351">
        <f t="shared" si="82"/>
        <v>7868</v>
      </c>
      <c r="W96" s="351">
        <f t="shared" si="82"/>
        <v>12000</v>
      </c>
      <c r="X96" s="351">
        <f t="shared" si="82"/>
        <v>0</v>
      </c>
      <c r="Y96" s="351">
        <f t="shared" si="82"/>
        <v>0</v>
      </c>
      <c r="Z96" s="351">
        <f t="shared" si="82"/>
        <v>12000</v>
      </c>
      <c r="AA96" s="351">
        <f t="shared" si="82"/>
        <v>19868</v>
      </c>
      <c r="AB96" s="351">
        <f t="shared" si="82"/>
        <v>6715</v>
      </c>
      <c r="AC96" s="351">
        <f t="shared" si="82"/>
        <v>79</v>
      </c>
      <c r="AD96" s="351">
        <f t="shared" si="82"/>
        <v>0</v>
      </c>
      <c r="AE96" s="808">
        <f t="shared" si="82"/>
        <v>26662</v>
      </c>
      <c r="AF96" s="815">
        <f t="shared" si="82"/>
        <v>0</v>
      </c>
      <c r="AG96" s="733">
        <f t="shared" si="82"/>
        <v>0.04</v>
      </c>
      <c r="AH96" s="733">
        <f t="shared" si="82"/>
        <v>0</v>
      </c>
      <c r="AI96" s="733">
        <f t="shared" si="82"/>
        <v>0</v>
      </c>
      <c r="AJ96" s="352">
        <f t="shared" si="82"/>
        <v>0</v>
      </c>
      <c r="AK96" s="352">
        <f t="shared" si="82"/>
        <v>0</v>
      </c>
      <c r="AL96" s="204">
        <f t="shared" si="82"/>
        <v>0.04</v>
      </c>
      <c r="AM96" s="654">
        <f t="shared" si="82"/>
        <v>7508137</v>
      </c>
      <c r="AN96" s="466">
        <f t="shared" si="82"/>
        <v>5540057</v>
      </c>
      <c r="AO96" s="351">
        <f t="shared" si="82"/>
        <v>30000</v>
      </c>
      <c r="AP96" s="351">
        <f t="shared" si="82"/>
        <v>1882679</v>
      </c>
      <c r="AQ96" s="351">
        <f t="shared" si="82"/>
        <v>55401</v>
      </c>
      <c r="AR96" s="351">
        <f t="shared" si="82"/>
        <v>0</v>
      </c>
      <c r="AS96" s="204">
        <f t="shared" si="82"/>
        <v>9.5861999999999998</v>
      </c>
    </row>
    <row r="97" spans="1:45" ht="12.95" customHeight="1" x14ac:dyDescent="0.25">
      <c r="A97" s="205">
        <v>24</v>
      </c>
      <c r="B97" s="143">
        <v>5434</v>
      </c>
      <c r="C97" s="143">
        <v>600098923</v>
      </c>
      <c r="D97" s="206">
        <v>70695318</v>
      </c>
      <c r="E97" s="295" t="s">
        <v>481</v>
      </c>
      <c r="F97" s="143">
        <v>3111</v>
      </c>
      <c r="G97" s="296" t="s">
        <v>290</v>
      </c>
      <c r="H97" s="210" t="s">
        <v>262</v>
      </c>
      <c r="I97" s="580">
        <v>3309710</v>
      </c>
      <c r="J97" s="490">
        <v>2455274</v>
      </c>
      <c r="K97" s="490">
        <v>0</v>
      </c>
      <c r="L97" s="55">
        <v>829883</v>
      </c>
      <c r="M97" s="55">
        <v>24553</v>
      </c>
      <c r="N97" s="490">
        <v>0</v>
      </c>
      <c r="O97" s="719">
        <v>4</v>
      </c>
      <c r="P97" s="552">
        <f>W97*-1</f>
        <v>0</v>
      </c>
      <c r="Q97" s="573">
        <v>0</v>
      </c>
      <c r="R97" s="325">
        <v>0</v>
      </c>
      <c r="S97" s="325">
        <v>0</v>
      </c>
      <c r="T97" s="325">
        <v>0</v>
      </c>
      <c r="U97" s="325">
        <v>0</v>
      </c>
      <c r="V97" s="492">
        <f>P97+Q97+R97+S97+T97+U97</f>
        <v>0</v>
      </c>
      <c r="W97" s="325">
        <v>0</v>
      </c>
      <c r="X97" s="325">
        <v>0</v>
      </c>
      <c r="Y97" s="325">
        <v>0</v>
      </c>
      <c r="Z97" s="492">
        <f>W97+X97+Y97</f>
        <v>0</v>
      </c>
      <c r="AA97" s="492">
        <f>V97+Z97</f>
        <v>0</v>
      </c>
      <c r="AB97" s="494">
        <f>ROUND((V97+Z97)*33.8%,0)</f>
        <v>0</v>
      </c>
      <c r="AC97" s="494">
        <f>ROUND(V97*1%,0)</f>
        <v>0</v>
      </c>
      <c r="AD97" s="492">
        <v>0</v>
      </c>
      <c r="AE97" s="753">
        <f t="shared" ref="AE97:AE98" si="83">AA97+AB97+AC97+AD97</f>
        <v>0</v>
      </c>
      <c r="AF97" s="813">
        <v>0</v>
      </c>
      <c r="AG97" s="729">
        <v>0</v>
      </c>
      <c r="AH97" s="728">
        <v>0</v>
      </c>
      <c r="AI97" s="728">
        <v>0</v>
      </c>
      <c r="AJ97" s="326">
        <v>0</v>
      </c>
      <c r="AK97" s="326">
        <v>0</v>
      </c>
      <c r="AL97" s="609">
        <f>SUM(AF97:AK97)</f>
        <v>0</v>
      </c>
      <c r="AM97" s="676">
        <f>I97+AE97</f>
        <v>3309710</v>
      </c>
      <c r="AN97" s="492">
        <f>J97+V97</f>
        <v>2455274</v>
      </c>
      <c r="AO97" s="573">
        <f>K97+Z97</f>
        <v>0</v>
      </c>
      <c r="AP97" s="492">
        <f t="shared" ref="AP97:AR98" si="84">L97+AB97</f>
        <v>829883</v>
      </c>
      <c r="AQ97" s="492">
        <f t="shared" si="84"/>
        <v>24553</v>
      </c>
      <c r="AR97" s="492">
        <f t="shared" si="84"/>
        <v>0</v>
      </c>
      <c r="AS97" s="609">
        <f>O97+AL97</f>
        <v>4</v>
      </c>
    </row>
    <row r="98" spans="1:45" ht="12.95" customHeight="1" x14ac:dyDescent="0.25">
      <c r="A98" s="205">
        <v>24</v>
      </c>
      <c r="B98" s="143">
        <v>5434</v>
      </c>
      <c r="C98" s="143">
        <v>600098923</v>
      </c>
      <c r="D98" s="206">
        <v>70695318</v>
      </c>
      <c r="E98" s="294" t="s">
        <v>481</v>
      </c>
      <c r="F98" s="143">
        <v>3111</v>
      </c>
      <c r="G98" s="248" t="s">
        <v>278</v>
      </c>
      <c r="H98" s="210" t="s">
        <v>263</v>
      </c>
      <c r="I98" s="580">
        <v>534949</v>
      </c>
      <c r="J98" s="490">
        <v>396847</v>
      </c>
      <c r="K98" s="490">
        <v>0</v>
      </c>
      <c r="L98" s="55">
        <v>134134</v>
      </c>
      <c r="M98" s="55">
        <v>3968</v>
      </c>
      <c r="N98" s="490">
        <v>0</v>
      </c>
      <c r="O98" s="719">
        <v>1</v>
      </c>
      <c r="P98" s="327">
        <f>W98*-1</f>
        <v>0</v>
      </c>
      <c r="Q98" s="573">
        <v>0</v>
      </c>
      <c r="R98" s="325">
        <v>0</v>
      </c>
      <c r="S98" s="325">
        <v>0</v>
      </c>
      <c r="T98" s="325">
        <v>0</v>
      </c>
      <c r="U98" s="325">
        <v>0</v>
      </c>
      <c r="V98" s="492">
        <f>P98+Q98+R98+S98+T98+U98</f>
        <v>0</v>
      </c>
      <c r="W98" s="325">
        <v>0</v>
      </c>
      <c r="X98" s="325">
        <v>0</v>
      </c>
      <c r="Y98" s="325">
        <v>0</v>
      </c>
      <c r="Z98" s="492">
        <f>W98+X98+Y98</f>
        <v>0</v>
      </c>
      <c r="AA98" s="492">
        <f>V98+Z98</f>
        <v>0</v>
      </c>
      <c r="AB98" s="494">
        <f>ROUND((V98+Z98)*33.8%,0)</f>
        <v>0</v>
      </c>
      <c r="AC98" s="494">
        <f>ROUND(V98*1%,0)</f>
        <v>0</v>
      </c>
      <c r="AD98" s="492">
        <v>0</v>
      </c>
      <c r="AE98" s="753">
        <f t="shared" si="83"/>
        <v>0</v>
      </c>
      <c r="AF98" s="813">
        <v>0</v>
      </c>
      <c r="AG98" s="729">
        <v>0</v>
      </c>
      <c r="AH98" s="728">
        <v>0</v>
      </c>
      <c r="AI98" s="728">
        <v>0</v>
      </c>
      <c r="AJ98" s="326">
        <v>0</v>
      </c>
      <c r="AK98" s="326">
        <v>0</v>
      </c>
      <c r="AL98" s="609">
        <f>SUM(AF98:AK98)</f>
        <v>0</v>
      </c>
      <c r="AM98" s="676">
        <f>I98+AE98</f>
        <v>534949</v>
      </c>
      <c r="AN98" s="492">
        <f>J98+V98</f>
        <v>396847</v>
      </c>
      <c r="AO98" s="573">
        <f>K98+Z98</f>
        <v>0</v>
      </c>
      <c r="AP98" s="492">
        <f t="shared" si="84"/>
        <v>134134</v>
      </c>
      <c r="AQ98" s="492">
        <f t="shared" si="84"/>
        <v>3968</v>
      </c>
      <c r="AR98" s="492">
        <f t="shared" si="84"/>
        <v>0</v>
      </c>
      <c r="AS98" s="609">
        <f>O98+AL98</f>
        <v>1</v>
      </c>
    </row>
    <row r="99" spans="1:45" ht="12.75" customHeight="1" x14ac:dyDescent="0.25">
      <c r="A99" s="144">
        <v>24</v>
      </c>
      <c r="B99" s="42">
        <v>5434</v>
      </c>
      <c r="C99" s="42">
        <v>600098923</v>
      </c>
      <c r="D99" s="42">
        <v>70695318</v>
      </c>
      <c r="E99" s="306" t="s">
        <v>482</v>
      </c>
      <c r="F99" s="307"/>
      <c r="G99" s="306"/>
      <c r="H99" s="308"/>
      <c r="I99" s="649">
        <v>3844659</v>
      </c>
      <c r="J99" s="567">
        <v>2852121</v>
      </c>
      <c r="K99" s="567">
        <v>0</v>
      </c>
      <c r="L99" s="351">
        <v>964017</v>
      </c>
      <c r="M99" s="351">
        <v>28521</v>
      </c>
      <c r="N99" s="567">
        <v>0</v>
      </c>
      <c r="O99" s="732">
        <v>5</v>
      </c>
      <c r="P99" s="654">
        <f t="shared" ref="P99:AS99" si="85">SUM(P97:P98)</f>
        <v>0</v>
      </c>
      <c r="Q99" s="466">
        <f t="shared" si="85"/>
        <v>0</v>
      </c>
      <c r="R99" s="351">
        <f t="shared" si="85"/>
        <v>0</v>
      </c>
      <c r="S99" s="351">
        <f t="shared" si="85"/>
        <v>0</v>
      </c>
      <c r="T99" s="351">
        <f t="shared" si="85"/>
        <v>0</v>
      </c>
      <c r="U99" s="351">
        <f t="shared" si="85"/>
        <v>0</v>
      </c>
      <c r="V99" s="351">
        <f t="shared" si="85"/>
        <v>0</v>
      </c>
      <c r="W99" s="351">
        <f t="shared" si="85"/>
        <v>0</v>
      </c>
      <c r="X99" s="351">
        <f t="shared" si="85"/>
        <v>0</v>
      </c>
      <c r="Y99" s="351">
        <f t="shared" si="85"/>
        <v>0</v>
      </c>
      <c r="Z99" s="351">
        <f t="shared" si="85"/>
        <v>0</v>
      </c>
      <c r="AA99" s="351">
        <f t="shared" si="85"/>
        <v>0</v>
      </c>
      <c r="AB99" s="351">
        <f t="shared" si="85"/>
        <v>0</v>
      </c>
      <c r="AC99" s="351">
        <f t="shared" si="85"/>
        <v>0</v>
      </c>
      <c r="AD99" s="351">
        <f t="shared" si="85"/>
        <v>0</v>
      </c>
      <c r="AE99" s="808">
        <f t="shared" si="85"/>
        <v>0</v>
      </c>
      <c r="AF99" s="815">
        <f t="shared" si="85"/>
        <v>0</v>
      </c>
      <c r="AG99" s="733">
        <f t="shared" si="85"/>
        <v>0</v>
      </c>
      <c r="AH99" s="733">
        <f t="shared" si="85"/>
        <v>0</v>
      </c>
      <c r="AI99" s="733">
        <f t="shared" si="85"/>
        <v>0</v>
      </c>
      <c r="AJ99" s="352">
        <f t="shared" si="85"/>
        <v>0</v>
      </c>
      <c r="AK99" s="352">
        <f t="shared" si="85"/>
        <v>0</v>
      </c>
      <c r="AL99" s="204">
        <f t="shared" si="85"/>
        <v>0</v>
      </c>
      <c r="AM99" s="654">
        <f t="shared" si="85"/>
        <v>3844659</v>
      </c>
      <c r="AN99" s="466">
        <f t="shared" si="85"/>
        <v>2852121</v>
      </c>
      <c r="AO99" s="351">
        <f t="shared" si="85"/>
        <v>0</v>
      </c>
      <c r="AP99" s="351">
        <f t="shared" si="85"/>
        <v>964017</v>
      </c>
      <c r="AQ99" s="351">
        <f t="shared" si="85"/>
        <v>28521</v>
      </c>
      <c r="AR99" s="351">
        <f t="shared" si="85"/>
        <v>0</v>
      </c>
      <c r="AS99" s="204">
        <f t="shared" si="85"/>
        <v>5</v>
      </c>
    </row>
    <row r="100" spans="1:45" ht="12.95" customHeight="1" x14ac:dyDescent="0.25">
      <c r="A100" s="205">
        <v>25</v>
      </c>
      <c r="B100" s="143">
        <v>5433</v>
      </c>
      <c r="C100" s="143">
        <v>600099253</v>
      </c>
      <c r="D100" s="206">
        <v>70695300</v>
      </c>
      <c r="E100" s="142" t="s">
        <v>483</v>
      </c>
      <c r="F100" s="143">
        <v>3117</v>
      </c>
      <c r="G100" s="295" t="s">
        <v>294</v>
      </c>
      <c r="H100" s="210" t="s">
        <v>262</v>
      </c>
      <c r="I100" s="580">
        <v>3252331</v>
      </c>
      <c r="J100" s="490">
        <v>2412709</v>
      </c>
      <c r="K100" s="490">
        <v>0</v>
      </c>
      <c r="L100" s="55">
        <v>815495</v>
      </c>
      <c r="M100" s="55">
        <v>24127</v>
      </c>
      <c r="N100" s="490">
        <v>0</v>
      </c>
      <c r="O100" s="719">
        <v>3.5909</v>
      </c>
      <c r="P100" s="552">
        <f>W100*-1</f>
        <v>0</v>
      </c>
      <c r="Q100" s="573">
        <v>0</v>
      </c>
      <c r="R100" s="325">
        <v>0</v>
      </c>
      <c r="S100" s="325">
        <v>0</v>
      </c>
      <c r="T100" s="325">
        <v>0</v>
      </c>
      <c r="U100" s="325">
        <v>0</v>
      </c>
      <c r="V100" s="492">
        <f>P100+Q100+R100+S100+T100+U100</f>
        <v>0</v>
      </c>
      <c r="W100" s="325">
        <v>0</v>
      </c>
      <c r="X100" s="325">
        <v>0</v>
      </c>
      <c r="Y100" s="325">
        <v>0</v>
      </c>
      <c r="Z100" s="492">
        <f>W100+X100+Y100</f>
        <v>0</v>
      </c>
      <c r="AA100" s="492">
        <f>V100+Z100</f>
        <v>0</v>
      </c>
      <c r="AB100" s="494">
        <f>ROUND((V100+Z100)*33.8%,0)</f>
        <v>0</v>
      </c>
      <c r="AC100" s="494">
        <f>ROUND(V100*1%,0)</f>
        <v>0</v>
      </c>
      <c r="AD100" s="492">
        <v>0</v>
      </c>
      <c r="AE100" s="753">
        <f t="shared" ref="AE100:AE102" si="86">AA100+AB100+AC100+AD100</f>
        <v>0</v>
      </c>
      <c r="AF100" s="813">
        <v>0</v>
      </c>
      <c r="AG100" s="729">
        <v>0</v>
      </c>
      <c r="AH100" s="728">
        <v>0</v>
      </c>
      <c r="AI100" s="728">
        <v>0</v>
      </c>
      <c r="AJ100" s="326">
        <v>0</v>
      </c>
      <c r="AK100" s="326">
        <v>0</v>
      </c>
      <c r="AL100" s="609">
        <f>SUM(AF100:AK100)</f>
        <v>0</v>
      </c>
      <c r="AM100" s="676">
        <f>I100+AE100</f>
        <v>3252331</v>
      </c>
      <c r="AN100" s="492">
        <f>J100+V100</f>
        <v>2412709</v>
      </c>
      <c r="AO100" s="573">
        <f>K100+Z100</f>
        <v>0</v>
      </c>
      <c r="AP100" s="492">
        <f t="shared" ref="AP100:AR102" si="87">L100+AB100</f>
        <v>815495</v>
      </c>
      <c r="AQ100" s="492">
        <f t="shared" si="87"/>
        <v>24127</v>
      </c>
      <c r="AR100" s="492">
        <f t="shared" si="87"/>
        <v>0</v>
      </c>
      <c r="AS100" s="609">
        <f>O100+AL100</f>
        <v>3.5909</v>
      </c>
    </row>
    <row r="101" spans="1:45" ht="12.95" customHeight="1" x14ac:dyDescent="0.25">
      <c r="A101" s="205">
        <v>25</v>
      </c>
      <c r="B101" s="143">
        <v>5433</v>
      </c>
      <c r="C101" s="143">
        <v>600099253</v>
      </c>
      <c r="D101" s="206">
        <v>70695300</v>
      </c>
      <c r="E101" s="294" t="s">
        <v>483</v>
      </c>
      <c r="F101" s="143">
        <v>3117</v>
      </c>
      <c r="G101" s="248" t="s">
        <v>278</v>
      </c>
      <c r="H101" s="210" t="s">
        <v>263</v>
      </c>
      <c r="I101" s="580">
        <v>35709</v>
      </c>
      <c r="J101" s="490">
        <v>26490</v>
      </c>
      <c r="K101" s="490">
        <v>0</v>
      </c>
      <c r="L101" s="55">
        <v>8954</v>
      </c>
      <c r="M101" s="55">
        <v>265</v>
      </c>
      <c r="N101" s="490">
        <v>0</v>
      </c>
      <c r="O101" s="719">
        <v>0.05</v>
      </c>
      <c r="P101" s="327">
        <f>W101*-1</f>
        <v>0</v>
      </c>
      <c r="Q101" s="573">
        <v>0</v>
      </c>
      <c r="R101" s="325">
        <v>0</v>
      </c>
      <c r="S101" s="325">
        <v>0</v>
      </c>
      <c r="T101" s="325">
        <v>0</v>
      </c>
      <c r="U101" s="325">
        <v>0</v>
      </c>
      <c r="V101" s="492">
        <f>P101+Q101+R101+S101+T101+U101</f>
        <v>0</v>
      </c>
      <c r="W101" s="325">
        <v>0</v>
      </c>
      <c r="X101" s="325">
        <v>0</v>
      </c>
      <c r="Y101" s="325">
        <v>0</v>
      </c>
      <c r="Z101" s="492">
        <f>W101+X101+Y101</f>
        <v>0</v>
      </c>
      <c r="AA101" s="492">
        <f>V101+Z101</f>
        <v>0</v>
      </c>
      <c r="AB101" s="494">
        <f>ROUND((V101+Z101)*33.8%,0)</f>
        <v>0</v>
      </c>
      <c r="AC101" s="494">
        <f>ROUND(V101*1%,0)</f>
        <v>0</v>
      </c>
      <c r="AD101" s="492">
        <v>0</v>
      </c>
      <c r="AE101" s="753">
        <f t="shared" si="86"/>
        <v>0</v>
      </c>
      <c r="AF101" s="813">
        <v>0</v>
      </c>
      <c r="AG101" s="729">
        <v>0</v>
      </c>
      <c r="AH101" s="728">
        <v>0</v>
      </c>
      <c r="AI101" s="728">
        <v>0</v>
      </c>
      <c r="AJ101" s="326">
        <v>0</v>
      </c>
      <c r="AK101" s="326">
        <v>0</v>
      </c>
      <c r="AL101" s="609">
        <f>SUM(AF101:AK101)</f>
        <v>0</v>
      </c>
      <c r="AM101" s="676">
        <f>I101+AE101</f>
        <v>35709</v>
      </c>
      <c r="AN101" s="492">
        <f>J101+V101</f>
        <v>26490</v>
      </c>
      <c r="AO101" s="573">
        <f>K101+Z101</f>
        <v>0</v>
      </c>
      <c r="AP101" s="492">
        <f t="shared" si="87"/>
        <v>8954</v>
      </c>
      <c r="AQ101" s="492">
        <f t="shared" si="87"/>
        <v>265</v>
      </c>
      <c r="AR101" s="492">
        <f t="shared" si="87"/>
        <v>0</v>
      </c>
      <c r="AS101" s="609">
        <f>O101+AL101</f>
        <v>0.05</v>
      </c>
    </row>
    <row r="102" spans="1:45" ht="12.95" customHeight="1" x14ac:dyDescent="0.25">
      <c r="A102" s="205">
        <v>25</v>
      </c>
      <c r="B102" s="143">
        <v>5433</v>
      </c>
      <c r="C102" s="143">
        <v>600099253</v>
      </c>
      <c r="D102" s="206">
        <v>70695300</v>
      </c>
      <c r="E102" s="294" t="s">
        <v>483</v>
      </c>
      <c r="F102" s="305">
        <v>3143</v>
      </c>
      <c r="G102" s="248" t="s">
        <v>794</v>
      </c>
      <c r="H102" s="210" t="s">
        <v>262</v>
      </c>
      <c r="I102" s="580">
        <v>710163</v>
      </c>
      <c r="J102" s="490">
        <v>526827</v>
      </c>
      <c r="K102" s="490">
        <v>0</v>
      </c>
      <c r="L102" s="55">
        <v>178068</v>
      </c>
      <c r="M102" s="55">
        <v>5268</v>
      </c>
      <c r="N102" s="490">
        <v>0</v>
      </c>
      <c r="O102" s="719">
        <v>1</v>
      </c>
      <c r="P102" s="327">
        <f>W102*-1</f>
        <v>0</v>
      </c>
      <c r="Q102" s="573">
        <v>0</v>
      </c>
      <c r="R102" s="325">
        <v>0</v>
      </c>
      <c r="S102" s="325">
        <v>0</v>
      </c>
      <c r="T102" s="325">
        <v>0</v>
      </c>
      <c r="U102" s="325">
        <v>0</v>
      </c>
      <c r="V102" s="492">
        <f>P102+Q102+R102+S102+T102+U102</f>
        <v>0</v>
      </c>
      <c r="W102" s="325">
        <v>0</v>
      </c>
      <c r="X102" s="325">
        <v>0</v>
      </c>
      <c r="Y102" s="325">
        <v>0</v>
      </c>
      <c r="Z102" s="492">
        <f>W102+X102+Y102</f>
        <v>0</v>
      </c>
      <c r="AA102" s="492">
        <f>V102+Z102</f>
        <v>0</v>
      </c>
      <c r="AB102" s="494">
        <f>ROUND((V102+Z102)*33.8%,0)</f>
        <v>0</v>
      </c>
      <c r="AC102" s="494">
        <f>ROUND(V102*1%,0)</f>
        <v>0</v>
      </c>
      <c r="AD102" s="492">
        <v>0</v>
      </c>
      <c r="AE102" s="753">
        <f t="shared" si="86"/>
        <v>0</v>
      </c>
      <c r="AF102" s="813">
        <v>0</v>
      </c>
      <c r="AG102" s="729">
        <v>0</v>
      </c>
      <c r="AH102" s="728">
        <v>0</v>
      </c>
      <c r="AI102" s="728">
        <v>0</v>
      </c>
      <c r="AJ102" s="326">
        <v>0</v>
      </c>
      <c r="AK102" s="326">
        <v>0</v>
      </c>
      <c r="AL102" s="609">
        <f>SUM(AF102:AK102)</f>
        <v>0</v>
      </c>
      <c r="AM102" s="676">
        <f>I102+AE102</f>
        <v>710163</v>
      </c>
      <c r="AN102" s="492">
        <f>J102+V102</f>
        <v>526827</v>
      </c>
      <c r="AO102" s="573">
        <f>K102+Z102</f>
        <v>0</v>
      </c>
      <c r="AP102" s="492">
        <f t="shared" si="87"/>
        <v>178068</v>
      </c>
      <c r="AQ102" s="492">
        <f t="shared" si="87"/>
        <v>5268</v>
      </c>
      <c r="AR102" s="492">
        <f t="shared" si="87"/>
        <v>0</v>
      </c>
      <c r="AS102" s="609">
        <f>O102+AL102</f>
        <v>1</v>
      </c>
    </row>
    <row r="103" spans="1:45" ht="12.95" customHeight="1" x14ac:dyDescent="0.25">
      <c r="A103" s="144">
        <v>25</v>
      </c>
      <c r="B103" s="41">
        <v>5433</v>
      </c>
      <c r="C103" s="41">
        <v>600099253</v>
      </c>
      <c r="D103" s="41">
        <v>70695300</v>
      </c>
      <c r="E103" s="306" t="s">
        <v>484</v>
      </c>
      <c r="F103" s="307"/>
      <c r="G103" s="306"/>
      <c r="H103" s="308"/>
      <c r="I103" s="649">
        <v>3998203</v>
      </c>
      <c r="J103" s="567">
        <v>2966026</v>
      </c>
      <c r="K103" s="567">
        <v>0</v>
      </c>
      <c r="L103" s="351">
        <v>1002517</v>
      </c>
      <c r="M103" s="351">
        <v>29660</v>
      </c>
      <c r="N103" s="567">
        <v>0</v>
      </c>
      <c r="O103" s="732">
        <v>4.6409000000000002</v>
      </c>
      <c r="P103" s="654">
        <f t="shared" ref="P103:AS103" si="88">SUM(P100:P102)</f>
        <v>0</v>
      </c>
      <c r="Q103" s="466">
        <f t="shared" si="88"/>
        <v>0</v>
      </c>
      <c r="R103" s="351">
        <f t="shared" si="88"/>
        <v>0</v>
      </c>
      <c r="S103" s="351">
        <f t="shared" si="88"/>
        <v>0</v>
      </c>
      <c r="T103" s="351">
        <f t="shared" si="88"/>
        <v>0</v>
      </c>
      <c r="U103" s="351">
        <f t="shared" si="88"/>
        <v>0</v>
      </c>
      <c r="V103" s="351">
        <f t="shared" si="88"/>
        <v>0</v>
      </c>
      <c r="W103" s="351">
        <f t="shared" si="88"/>
        <v>0</v>
      </c>
      <c r="X103" s="351">
        <f t="shared" si="88"/>
        <v>0</v>
      </c>
      <c r="Y103" s="351">
        <f t="shared" si="88"/>
        <v>0</v>
      </c>
      <c r="Z103" s="351">
        <f t="shared" si="88"/>
        <v>0</v>
      </c>
      <c r="AA103" s="351">
        <f t="shared" si="88"/>
        <v>0</v>
      </c>
      <c r="AB103" s="351">
        <f t="shared" si="88"/>
        <v>0</v>
      </c>
      <c r="AC103" s="351">
        <f t="shared" si="88"/>
        <v>0</v>
      </c>
      <c r="AD103" s="351">
        <f t="shared" si="88"/>
        <v>0</v>
      </c>
      <c r="AE103" s="808">
        <f t="shared" si="88"/>
        <v>0</v>
      </c>
      <c r="AF103" s="815">
        <f t="shared" si="88"/>
        <v>0</v>
      </c>
      <c r="AG103" s="733">
        <f t="shared" si="88"/>
        <v>0</v>
      </c>
      <c r="AH103" s="733">
        <f t="shared" si="88"/>
        <v>0</v>
      </c>
      <c r="AI103" s="733">
        <f t="shared" si="88"/>
        <v>0</v>
      </c>
      <c r="AJ103" s="352">
        <f t="shared" si="88"/>
        <v>0</v>
      </c>
      <c r="AK103" s="352">
        <f t="shared" si="88"/>
        <v>0</v>
      </c>
      <c r="AL103" s="204">
        <f t="shared" si="88"/>
        <v>0</v>
      </c>
      <c r="AM103" s="654">
        <f t="shared" si="88"/>
        <v>3998203</v>
      </c>
      <c r="AN103" s="466">
        <f t="shared" si="88"/>
        <v>2966026</v>
      </c>
      <c r="AO103" s="351">
        <f t="shared" si="88"/>
        <v>0</v>
      </c>
      <c r="AP103" s="351">
        <f t="shared" si="88"/>
        <v>1002517</v>
      </c>
      <c r="AQ103" s="351">
        <f t="shared" si="88"/>
        <v>29660</v>
      </c>
      <c r="AR103" s="351">
        <f t="shared" si="88"/>
        <v>0</v>
      </c>
      <c r="AS103" s="204">
        <f t="shared" si="88"/>
        <v>4.6409000000000002</v>
      </c>
    </row>
    <row r="104" spans="1:45" ht="12.95" customHeight="1" x14ac:dyDescent="0.25">
      <c r="A104" s="205">
        <v>26</v>
      </c>
      <c r="B104" s="143">
        <v>5486</v>
      </c>
      <c r="C104" s="143">
        <v>600098711</v>
      </c>
      <c r="D104" s="206">
        <v>72744022</v>
      </c>
      <c r="E104" s="295" t="s">
        <v>485</v>
      </c>
      <c r="F104" s="143">
        <v>3111</v>
      </c>
      <c r="G104" s="296" t="s">
        <v>290</v>
      </c>
      <c r="H104" s="210" t="s">
        <v>262</v>
      </c>
      <c r="I104" s="580">
        <v>2943602</v>
      </c>
      <c r="J104" s="490">
        <v>2183681</v>
      </c>
      <c r="K104" s="490">
        <v>0</v>
      </c>
      <c r="L104" s="55">
        <v>738084</v>
      </c>
      <c r="M104" s="55">
        <v>21837</v>
      </c>
      <c r="N104" s="490">
        <v>0</v>
      </c>
      <c r="O104" s="719">
        <v>3.8938000000000001</v>
      </c>
      <c r="P104" s="552">
        <f>W104*-1</f>
        <v>0</v>
      </c>
      <c r="Q104" s="573">
        <v>0</v>
      </c>
      <c r="R104" s="325">
        <v>0</v>
      </c>
      <c r="S104" s="325">
        <v>0</v>
      </c>
      <c r="T104" s="325">
        <v>0</v>
      </c>
      <c r="U104" s="325">
        <v>0</v>
      </c>
      <c r="V104" s="492">
        <f>P104+Q104+R104+S104+T104+U104</f>
        <v>0</v>
      </c>
      <c r="W104" s="325">
        <v>0</v>
      </c>
      <c r="X104" s="325">
        <v>0</v>
      </c>
      <c r="Y104" s="325">
        <v>0</v>
      </c>
      <c r="Z104" s="492">
        <f>W104+X104+Y104</f>
        <v>0</v>
      </c>
      <c r="AA104" s="492">
        <f>V104+Z104</f>
        <v>0</v>
      </c>
      <c r="AB104" s="494">
        <f>ROUND((V104+Z104)*33.8%,0)</f>
        <v>0</v>
      </c>
      <c r="AC104" s="494">
        <f>ROUND(V104*1%,0)</f>
        <v>0</v>
      </c>
      <c r="AD104" s="492">
        <v>0</v>
      </c>
      <c r="AE104" s="753">
        <f t="shared" ref="AE104:AE105" si="89">AA104+AB104+AC104+AD104</f>
        <v>0</v>
      </c>
      <c r="AF104" s="813">
        <v>0</v>
      </c>
      <c r="AG104" s="729">
        <v>0</v>
      </c>
      <c r="AH104" s="728">
        <v>0</v>
      </c>
      <c r="AI104" s="728">
        <v>0</v>
      </c>
      <c r="AJ104" s="326">
        <v>0</v>
      </c>
      <c r="AK104" s="326">
        <v>0</v>
      </c>
      <c r="AL104" s="609">
        <f>SUM(AF104:AK104)</f>
        <v>0</v>
      </c>
      <c r="AM104" s="676">
        <f>I104+AE104</f>
        <v>2943602</v>
      </c>
      <c r="AN104" s="492">
        <f>J104+V104</f>
        <v>2183681</v>
      </c>
      <c r="AO104" s="573">
        <f>K104+Z104</f>
        <v>0</v>
      </c>
      <c r="AP104" s="492">
        <f t="shared" ref="AP104:AR105" si="90">L104+AB104</f>
        <v>738084</v>
      </c>
      <c r="AQ104" s="492">
        <f t="shared" si="90"/>
        <v>21837</v>
      </c>
      <c r="AR104" s="492">
        <f t="shared" si="90"/>
        <v>0</v>
      </c>
      <c r="AS104" s="609">
        <f>O104+AL104</f>
        <v>3.8938000000000001</v>
      </c>
    </row>
    <row r="105" spans="1:45" ht="12.95" customHeight="1" x14ac:dyDescent="0.25">
      <c r="A105" s="205">
        <v>26</v>
      </c>
      <c r="B105" s="143">
        <v>5486</v>
      </c>
      <c r="C105" s="143">
        <v>600098711</v>
      </c>
      <c r="D105" s="206">
        <v>72744022</v>
      </c>
      <c r="E105" s="295" t="s">
        <v>485</v>
      </c>
      <c r="F105" s="143">
        <v>3111</v>
      </c>
      <c r="G105" s="296" t="s">
        <v>278</v>
      </c>
      <c r="H105" s="210" t="s">
        <v>263</v>
      </c>
      <c r="I105" s="580">
        <v>245186</v>
      </c>
      <c r="J105" s="490">
        <v>181889</v>
      </c>
      <c r="K105" s="490">
        <v>0</v>
      </c>
      <c r="L105" s="55">
        <v>61478</v>
      </c>
      <c r="M105" s="55">
        <v>1819</v>
      </c>
      <c r="N105" s="490">
        <v>0</v>
      </c>
      <c r="O105" s="719">
        <v>0.46</v>
      </c>
      <c r="P105" s="327">
        <f>W105*-1</f>
        <v>0</v>
      </c>
      <c r="Q105" s="573">
        <v>82677</v>
      </c>
      <c r="R105" s="325">
        <v>0</v>
      </c>
      <c r="S105" s="325">
        <v>0</v>
      </c>
      <c r="T105" s="325">
        <v>0</v>
      </c>
      <c r="U105" s="325">
        <v>0</v>
      </c>
      <c r="V105" s="492">
        <f>P105+Q105+R105+S105+T105+U105</f>
        <v>82677</v>
      </c>
      <c r="W105" s="325">
        <v>0</v>
      </c>
      <c r="X105" s="325">
        <v>0</v>
      </c>
      <c r="Y105" s="325">
        <v>0</v>
      </c>
      <c r="Z105" s="492">
        <f>W105+X105+Y105</f>
        <v>0</v>
      </c>
      <c r="AA105" s="492">
        <f>V105+Z105</f>
        <v>82677</v>
      </c>
      <c r="AB105" s="494">
        <f>ROUND((V105+Z105)*33.8%,0)</f>
        <v>27945</v>
      </c>
      <c r="AC105" s="494">
        <f>ROUND(V105*1%,0)</f>
        <v>827</v>
      </c>
      <c r="AD105" s="492">
        <v>0</v>
      </c>
      <c r="AE105" s="753">
        <f t="shared" si="89"/>
        <v>111449</v>
      </c>
      <c r="AF105" s="813">
        <v>0</v>
      </c>
      <c r="AG105" s="729">
        <v>0.21</v>
      </c>
      <c r="AH105" s="728">
        <v>0</v>
      </c>
      <c r="AI105" s="728">
        <v>0</v>
      </c>
      <c r="AJ105" s="326">
        <v>0</v>
      </c>
      <c r="AK105" s="326">
        <v>0</v>
      </c>
      <c r="AL105" s="609">
        <f>SUM(AF105:AK105)</f>
        <v>0.21</v>
      </c>
      <c r="AM105" s="676">
        <f>I105+AE105</f>
        <v>356635</v>
      </c>
      <c r="AN105" s="492">
        <f>J105+V105</f>
        <v>264566</v>
      </c>
      <c r="AO105" s="573">
        <f>K105+Z105</f>
        <v>0</v>
      </c>
      <c r="AP105" s="492">
        <f t="shared" si="90"/>
        <v>89423</v>
      </c>
      <c r="AQ105" s="492">
        <f t="shared" si="90"/>
        <v>2646</v>
      </c>
      <c r="AR105" s="492">
        <f t="shared" si="90"/>
        <v>0</v>
      </c>
      <c r="AS105" s="609">
        <f>O105+AL105</f>
        <v>0.67</v>
      </c>
    </row>
    <row r="106" spans="1:45" ht="12.95" customHeight="1" x14ac:dyDescent="0.25">
      <c r="A106" s="144">
        <v>26</v>
      </c>
      <c r="B106" s="41">
        <v>5486</v>
      </c>
      <c r="C106" s="41">
        <v>600098711</v>
      </c>
      <c r="D106" s="41">
        <v>72744022</v>
      </c>
      <c r="E106" s="297" t="s">
        <v>486</v>
      </c>
      <c r="F106" s="41"/>
      <c r="G106" s="297"/>
      <c r="H106" s="128"/>
      <c r="I106" s="650">
        <v>3188788</v>
      </c>
      <c r="J106" s="568">
        <v>2365570</v>
      </c>
      <c r="K106" s="568">
        <v>0</v>
      </c>
      <c r="L106" s="368">
        <v>799562</v>
      </c>
      <c r="M106" s="368">
        <v>23656</v>
      </c>
      <c r="N106" s="568">
        <v>0</v>
      </c>
      <c r="O106" s="734">
        <v>4.3538000000000006</v>
      </c>
      <c r="P106" s="655">
        <f t="shared" ref="P106:AS106" si="91">SUM(P104:P105)</f>
        <v>0</v>
      </c>
      <c r="Q106" s="467">
        <f t="shared" si="91"/>
        <v>82677</v>
      </c>
      <c r="R106" s="368">
        <f t="shared" si="91"/>
        <v>0</v>
      </c>
      <c r="S106" s="368">
        <f t="shared" si="91"/>
        <v>0</v>
      </c>
      <c r="T106" s="368">
        <f t="shared" si="91"/>
        <v>0</v>
      </c>
      <c r="U106" s="368">
        <f t="shared" si="91"/>
        <v>0</v>
      </c>
      <c r="V106" s="368">
        <f t="shared" si="91"/>
        <v>82677</v>
      </c>
      <c r="W106" s="368">
        <f t="shared" si="91"/>
        <v>0</v>
      </c>
      <c r="X106" s="368">
        <f t="shared" si="91"/>
        <v>0</v>
      </c>
      <c r="Y106" s="368">
        <f t="shared" si="91"/>
        <v>0</v>
      </c>
      <c r="Z106" s="368">
        <f t="shared" si="91"/>
        <v>0</v>
      </c>
      <c r="AA106" s="368">
        <f t="shared" si="91"/>
        <v>82677</v>
      </c>
      <c r="AB106" s="368">
        <f t="shared" si="91"/>
        <v>27945</v>
      </c>
      <c r="AC106" s="368">
        <f t="shared" si="91"/>
        <v>827</v>
      </c>
      <c r="AD106" s="368">
        <f t="shared" si="91"/>
        <v>0</v>
      </c>
      <c r="AE106" s="809">
        <f t="shared" si="91"/>
        <v>111449</v>
      </c>
      <c r="AF106" s="816">
        <f t="shared" si="91"/>
        <v>0</v>
      </c>
      <c r="AG106" s="735">
        <f t="shared" si="91"/>
        <v>0.21</v>
      </c>
      <c r="AH106" s="735">
        <f t="shared" si="91"/>
        <v>0</v>
      </c>
      <c r="AI106" s="735">
        <f t="shared" si="91"/>
        <v>0</v>
      </c>
      <c r="AJ106" s="369">
        <f t="shared" si="91"/>
        <v>0</v>
      </c>
      <c r="AK106" s="369">
        <f t="shared" si="91"/>
        <v>0</v>
      </c>
      <c r="AL106" s="302">
        <f t="shared" si="91"/>
        <v>0.21</v>
      </c>
      <c r="AM106" s="655">
        <f t="shared" si="91"/>
        <v>3300237</v>
      </c>
      <c r="AN106" s="467">
        <f t="shared" si="91"/>
        <v>2448247</v>
      </c>
      <c r="AO106" s="368">
        <f t="shared" si="91"/>
        <v>0</v>
      </c>
      <c r="AP106" s="368">
        <f t="shared" si="91"/>
        <v>827507</v>
      </c>
      <c r="AQ106" s="368">
        <f t="shared" si="91"/>
        <v>24483</v>
      </c>
      <c r="AR106" s="368">
        <f t="shared" si="91"/>
        <v>0</v>
      </c>
      <c r="AS106" s="302">
        <f t="shared" si="91"/>
        <v>4.5638000000000005</v>
      </c>
    </row>
    <row r="107" spans="1:45" ht="12.95" customHeight="1" x14ac:dyDescent="0.25">
      <c r="A107" s="205">
        <v>27</v>
      </c>
      <c r="B107" s="299">
        <v>2440</v>
      </c>
      <c r="C107" s="299">
        <v>600079392</v>
      </c>
      <c r="D107" s="206">
        <v>70981183</v>
      </c>
      <c r="E107" s="295" t="s">
        <v>487</v>
      </c>
      <c r="F107" s="143">
        <v>3111</v>
      </c>
      <c r="G107" s="296" t="s">
        <v>290</v>
      </c>
      <c r="H107" s="210" t="s">
        <v>262</v>
      </c>
      <c r="I107" s="580">
        <v>2291237</v>
      </c>
      <c r="J107" s="490">
        <v>1699731</v>
      </c>
      <c r="K107" s="490">
        <v>0</v>
      </c>
      <c r="L107" s="55">
        <v>574509</v>
      </c>
      <c r="M107" s="55">
        <v>16997</v>
      </c>
      <c r="N107" s="490">
        <v>0</v>
      </c>
      <c r="O107" s="719">
        <v>3</v>
      </c>
      <c r="P107" s="552">
        <f>W107*-1</f>
        <v>0</v>
      </c>
      <c r="Q107" s="573">
        <v>0</v>
      </c>
      <c r="R107" s="325">
        <v>0</v>
      </c>
      <c r="S107" s="325">
        <v>0</v>
      </c>
      <c r="T107" s="325">
        <v>0</v>
      </c>
      <c r="U107" s="325">
        <v>0</v>
      </c>
      <c r="V107" s="492">
        <f>P107+Q107+R107+S107+T107+U107</f>
        <v>0</v>
      </c>
      <c r="W107" s="325">
        <v>0</v>
      </c>
      <c r="X107" s="325">
        <v>0</v>
      </c>
      <c r="Y107" s="325">
        <v>0</v>
      </c>
      <c r="Z107" s="492">
        <f>W107+X107+Y107</f>
        <v>0</v>
      </c>
      <c r="AA107" s="492">
        <f>V107+Z107</f>
        <v>0</v>
      </c>
      <c r="AB107" s="494">
        <f>ROUND((V107+Z107)*33.8%,0)</f>
        <v>0</v>
      </c>
      <c r="AC107" s="494">
        <f>ROUND(V107*1%,0)</f>
        <v>0</v>
      </c>
      <c r="AD107" s="492">
        <v>0</v>
      </c>
      <c r="AE107" s="753">
        <f t="shared" ref="AE107:AE108" si="92">AA107+AB107+AC107+AD107</f>
        <v>0</v>
      </c>
      <c r="AF107" s="813">
        <v>0</v>
      </c>
      <c r="AG107" s="729">
        <v>0</v>
      </c>
      <c r="AH107" s="728">
        <v>0</v>
      </c>
      <c r="AI107" s="728">
        <v>0</v>
      </c>
      <c r="AJ107" s="326">
        <v>0</v>
      </c>
      <c r="AK107" s="326">
        <v>0</v>
      </c>
      <c r="AL107" s="609">
        <f>SUM(AF107:AK107)</f>
        <v>0</v>
      </c>
      <c r="AM107" s="676">
        <f>I107+AE107</f>
        <v>2291237</v>
      </c>
      <c r="AN107" s="492">
        <f>J107+V107</f>
        <v>1699731</v>
      </c>
      <c r="AO107" s="573">
        <f>K107+Z107</f>
        <v>0</v>
      </c>
      <c r="AP107" s="492">
        <f t="shared" ref="AP107:AR108" si="93">L107+AB107</f>
        <v>574509</v>
      </c>
      <c r="AQ107" s="492">
        <f t="shared" si="93"/>
        <v>16997</v>
      </c>
      <c r="AR107" s="492">
        <f t="shared" si="93"/>
        <v>0</v>
      </c>
      <c r="AS107" s="609">
        <f>O107+AL107</f>
        <v>3</v>
      </c>
    </row>
    <row r="108" spans="1:45" ht="12.95" customHeight="1" x14ac:dyDescent="0.25">
      <c r="A108" s="205">
        <v>27</v>
      </c>
      <c r="B108" s="299">
        <v>2440</v>
      </c>
      <c r="C108" s="299">
        <v>600079392</v>
      </c>
      <c r="D108" s="206">
        <v>70981183</v>
      </c>
      <c r="E108" s="295" t="s">
        <v>487</v>
      </c>
      <c r="F108" s="143">
        <v>3111</v>
      </c>
      <c r="G108" s="296" t="s">
        <v>278</v>
      </c>
      <c r="H108" s="210" t="s">
        <v>263</v>
      </c>
      <c r="I108" s="580">
        <v>35709</v>
      </c>
      <c r="J108" s="490">
        <v>26490</v>
      </c>
      <c r="K108" s="490">
        <v>0</v>
      </c>
      <c r="L108" s="55">
        <v>8954</v>
      </c>
      <c r="M108" s="55">
        <v>265</v>
      </c>
      <c r="N108" s="490">
        <v>0</v>
      </c>
      <c r="O108" s="719">
        <v>0.05</v>
      </c>
      <c r="P108" s="327">
        <f>W108*-1</f>
        <v>0</v>
      </c>
      <c r="Q108" s="573">
        <v>0</v>
      </c>
      <c r="R108" s="325">
        <v>0</v>
      </c>
      <c r="S108" s="325">
        <v>0</v>
      </c>
      <c r="T108" s="325">
        <v>0</v>
      </c>
      <c r="U108" s="325">
        <v>0</v>
      </c>
      <c r="V108" s="492">
        <f>P108+Q108+R108+S108+T108+U108</f>
        <v>0</v>
      </c>
      <c r="W108" s="325">
        <v>0</v>
      </c>
      <c r="X108" s="325">
        <v>0</v>
      </c>
      <c r="Y108" s="325">
        <v>0</v>
      </c>
      <c r="Z108" s="492">
        <f>W108+X108+Y108</f>
        <v>0</v>
      </c>
      <c r="AA108" s="492">
        <f>V108+Z108</f>
        <v>0</v>
      </c>
      <c r="AB108" s="494">
        <f>ROUND((V108+Z108)*33.8%,0)</f>
        <v>0</v>
      </c>
      <c r="AC108" s="494">
        <f>ROUND(V108*1%,0)</f>
        <v>0</v>
      </c>
      <c r="AD108" s="492">
        <v>0</v>
      </c>
      <c r="AE108" s="753">
        <f t="shared" si="92"/>
        <v>0</v>
      </c>
      <c r="AF108" s="813">
        <v>0</v>
      </c>
      <c r="AG108" s="729">
        <v>0</v>
      </c>
      <c r="AH108" s="728">
        <v>0</v>
      </c>
      <c r="AI108" s="728">
        <v>0</v>
      </c>
      <c r="AJ108" s="326">
        <v>0</v>
      </c>
      <c r="AK108" s="326">
        <v>0</v>
      </c>
      <c r="AL108" s="609">
        <f>SUM(AF108:AK108)</f>
        <v>0</v>
      </c>
      <c r="AM108" s="676">
        <f>I108+AE108</f>
        <v>35709</v>
      </c>
      <c r="AN108" s="492">
        <f>J108+V108</f>
        <v>26490</v>
      </c>
      <c r="AO108" s="573">
        <f>K108+Z108</f>
        <v>0</v>
      </c>
      <c r="AP108" s="492">
        <f t="shared" si="93"/>
        <v>8954</v>
      </c>
      <c r="AQ108" s="492">
        <f t="shared" si="93"/>
        <v>265</v>
      </c>
      <c r="AR108" s="492">
        <f t="shared" si="93"/>
        <v>0</v>
      </c>
      <c r="AS108" s="609">
        <f>O108+AL108</f>
        <v>0.05</v>
      </c>
    </row>
    <row r="109" spans="1:45" ht="12.95" customHeight="1" x14ac:dyDescent="0.25">
      <c r="A109" s="144">
        <v>27</v>
      </c>
      <c r="B109" s="41">
        <v>2440</v>
      </c>
      <c r="C109" s="41">
        <v>600079392</v>
      </c>
      <c r="D109" s="41">
        <v>70981183</v>
      </c>
      <c r="E109" s="297" t="s">
        <v>488</v>
      </c>
      <c r="F109" s="41"/>
      <c r="G109" s="297"/>
      <c r="H109" s="128"/>
      <c r="I109" s="650">
        <v>2326946</v>
      </c>
      <c r="J109" s="568">
        <v>1726221</v>
      </c>
      <c r="K109" s="568">
        <v>0</v>
      </c>
      <c r="L109" s="368">
        <v>583463</v>
      </c>
      <c r="M109" s="368">
        <v>17262</v>
      </c>
      <c r="N109" s="568">
        <v>0</v>
      </c>
      <c r="O109" s="734">
        <v>3.05</v>
      </c>
      <c r="P109" s="655">
        <f t="shared" ref="P109:AS109" si="94">SUM(P107:P108)</f>
        <v>0</v>
      </c>
      <c r="Q109" s="467">
        <f t="shared" si="94"/>
        <v>0</v>
      </c>
      <c r="R109" s="368">
        <f t="shared" si="94"/>
        <v>0</v>
      </c>
      <c r="S109" s="368">
        <f t="shared" si="94"/>
        <v>0</v>
      </c>
      <c r="T109" s="368">
        <f t="shared" si="94"/>
        <v>0</v>
      </c>
      <c r="U109" s="368">
        <f t="shared" si="94"/>
        <v>0</v>
      </c>
      <c r="V109" s="368">
        <f t="shared" si="94"/>
        <v>0</v>
      </c>
      <c r="W109" s="368">
        <f t="shared" si="94"/>
        <v>0</v>
      </c>
      <c r="X109" s="368">
        <f t="shared" si="94"/>
        <v>0</v>
      </c>
      <c r="Y109" s="368">
        <f t="shared" si="94"/>
        <v>0</v>
      </c>
      <c r="Z109" s="368">
        <f t="shared" si="94"/>
        <v>0</v>
      </c>
      <c r="AA109" s="368">
        <f t="shared" si="94"/>
        <v>0</v>
      </c>
      <c r="AB109" s="368">
        <f t="shared" si="94"/>
        <v>0</v>
      </c>
      <c r="AC109" s="368">
        <f t="shared" si="94"/>
        <v>0</v>
      </c>
      <c r="AD109" s="368">
        <f t="shared" si="94"/>
        <v>0</v>
      </c>
      <c r="AE109" s="809">
        <f t="shared" si="94"/>
        <v>0</v>
      </c>
      <c r="AF109" s="816">
        <f t="shared" si="94"/>
        <v>0</v>
      </c>
      <c r="AG109" s="735">
        <f t="shared" si="94"/>
        <v>0</v>
      </c>
      <c r="AH109" s="735">
        <f t="shared" si="94"/>
        <v>0</v>
      </c>
      <c r="AI109" s="735">
        <f t="shared" si="94"/>
        <v>0</v>
      </c>
      <c r="AJ109" s="369">
        <f t="shared" si="94"/>
        <v>0</v>
      </c>
      <c r="AK109" s="369">
        <f t="shared" si="94"/>
        <v>0</v>
      </c>
      <c r="AL109" s="302">
        <f t="shared" si="94"/>
        <v>0</v>
      </c>
      <c r="AM109" s="655">
        <f t="shared" si="94"/>
        <v>2326946</v>
      </c>
      <c r="AN109" s="467">
        <f t="shared" si="94"/>
        <v>1726221</v>
      </c>
      <c r="AO109" s="368">
        <f t="shared" si="94"/>
        <v>0</v>
      </c>
      <c r="AP109" s="368">
        <f t="shared" si="94"/>
        <v>583463</v>
      </c>
      <c r="AQ109" s="368">
        <f t="shared" si="94"/>
        <v>17262</v>
      </c>
      <c r="AR109" s="368">
        <f t="shared" si="94"/>
        <v>0</v>
      </c>
      <c r="AS109" s="302">
        <f t="shared" si="94"/>
        <v>3.05</v>
      </c>
    </row>
    <row r="110" spans="1:45" ht="12.95" customHeight="1" x14ac:dyDescent="0.25">
      <c r="A110" s="205">
        <v>28</v>
      </c>
      <c r="B110" s="293">
        <v>2303</v>
      </c>
      <c r="C110" s="293">
        <v>600080048</v>
      </c>
      <c r="D110" s="206">
        <v>72743689</v>
      </c>
      <c r="E110" s="294" t="s">
        <v>489</v>
      </c>
      <c r="F110" s="293">
        <v>3111</v>
      </c>
      <c r="G110" s="296" t="s">
        <v>290</v>
      </c>
      <c r="H110" s="210" t="s">
        <v>262</v>
      </c>
      <c r="I110" s="580">
        <v>3332727</v>
      </c>
      <c r="J110" s="490">
        <v>2454483</v>
      </c>
      <c r="K110" s="490">
        <v>18000</v>
      </c>
      <c r="L110" s="55">
        <v>835699</v>
      </c>
      <c r="M110" s="55">
        <v>24545</v>
      </c>
      <c r="N110" s="490">
        <v>0</v>
      </c>
      <c r="O110" s="719">
        <v>4</v>
      </c>
      <c r="P110" s="552">
        <f t="shared" ref="P110:P113" si="95">W110*-1</f>
        <v>-12000</v>
      </c>
      <c r="Q110" s="573">
        <v>0</v>
      </c>
      <c r="R110" s="325">
        <v>0</v>
      </c>
      <c r="S110" s="325">
        <v>0</v>
      </c>
      <c r="T110" s="325">
        <v>0</v>
      </c>
      <c r="U110" s="325">
        <v>0</v>
      </c>
      <c r="V110" s="492">
        <f>P110+Q110+R110+S110+T110+U110</f>
        <v>-12000</v>
      </c>
      <c r="W110" s="325">
        <v>12000</v>
      </c>
      <c r="X110" s="325">
        <v>0</v>
      </c>
      <c r="Y110" s="325">
        <v>0</v>
      </c>
      <c r="Z110" s="492">
        <f>W110+X110+Y110</f>
        <v>12000</v>
      </c>
      <c r="AA110" s="492">
        <f>V110+Z110</f>
        <v>0</v>
      </c>
      <c r="AB110" s="494">
        <f>ROUND((V110+Z110)*33.8%,0)</f>
        <v>0</v>
      </c>
      <c r="AC110" s="494">
        <f>ROUND(V110*1%,0)</f>
        <v>-120</v>
      </c>
      <c r="AD110" s="492">
        <v>0</v>
      </c>
      <c r="AE110" s="753">
        <f t="shared" ref="AE110:AE113" si="96">AA110+AB110+AC110+AD110</f>
        <v>-120</v>
      </c>
      <c r="AF110" s="813">
        <v>0</v>
      </c>
      <c r="AG110" s="729">
        <v>0</v>
      </c>
      <c r="AH110" s="728">
        <v>0</v>
      </c>
      <c r="AI110" s="728">
        <v>0</v>
      </c>
      <c r="AJ110" s="326">
        <v>0</v>
      </c>
      <c r="AK110" s="326">
        <v>0</v>
      </c>
      <c r="AL110" s="609">
        <f>SUM(AF110:AK110)</f>
        <v>0</v>
      </c>
      <c r="AM110" s="676">
        <f>I110+AE110</f>
        <v>3332607</v>
      </c>
      <c r="AN110" s="492">
        <f>J110+V110</f>
        <v>2442483</v>
      </c>
      <c r="AO110" s="573">
        <f>K110+Z110</f>
        <v>30000</v>
      </c>
      <c r="AP110" s="492">
        <f t="shared" ref="AP110:AR113" si="97">L110+AB110</f>
        <v>835699</v>
      </c>
      <c r="AQ110" s="492">
        <f t="shared" si="97"/>
        <v>24425</v>
      </c>
      <c r="AR110" s="492">
        <f t="shared" si="97"/>
        <v>0</v>
      </c>
      <c r="AS110" s="609">
        <f>O110+AL110</f>
        <v>4</v>
      </c>
    </row>
    <row r="111" spans="1:45" ht="12.95" customHeight="1" x14ac:dyDescent="0.25">
      <c r="A111" s="205">
        <v>28</v>
      </c>
      <c r="B111" s="299">
        <v>2303</v>
      </c>
      <c r="C111" s="299">
        <v>600080048</v>
      </c>
      <c r="D111" s="206">
        <v>72743689</v>
      </c>
      <c r="E111" s="142" t="s">
        <v>489</v>
      </c>
      <c r="F111" s="299">
        <v>3117</v>
      </c>
      <c r="G111" s="295" t="s">
        <v>294</v>
      </c>
      <c r="H111" s="210" t="s">
        <v>262</v>
      </c>
      <c r="I111" s="580">
        <v>3442402</v>
      </c>
      <c r="J111" s="490">
        <v>2460897</v>
      </c>
      <c r="K111" s="490">
        <v>93507</v>
      </c>
      <c r="L111" s="55">
        <v>863389</v>
      </c>
      <c r="M111" s="55">
        <v>24609</v>
      </c>
      <c r="N111" s="490">
        <v>0</v>
      </c>
      <c r="O111" s="719">
        <v>3.8065000000000002</v>
      </c>
      <c r="P111" s="327">
        <f t="shared" si="95"/>
        <v>-8000</v>
      </c>
      <c r="Q111" s="573">
        <v>0</v>
      </c>
      <c r="R111" s="325">
        <v>0</v>
      </c>
      <c r="S111" s="325">
        <v>0</v>
      </c>
      <c r="T111" s="325">
        <v>0</v>
      </c>
      <c r="U111" s="325">
        <v>0</v>
      </c>
      <c r="V111" s="492">
        <f>P111+Q111+R111+S111+T111+U111</f>
        <v>-8000</v>
      </c>
      <c r="W111" s="325">
        <v>8000</v>
      </c>
      <c r="X111" s="325">
        <v>0</v>
      </c>
      <c r="Y111" s="325">
        <v>0</v>
      </c>
      <c r="Z111" s="492">
        <f>W111+X111+Y111</f>
        <v>8000</v>
      </c>
      <c r="AA111" s="492">
        <f>V111+Z111</f>
        <v>0</v>
      </c>
      <c r="AB111" s="494">
        <f>ROUND((V111+Z111)*33.8%,0)</f>
        <v>0</v>
      </c>
      <c r="AC111" s="494">
        <f>ROUND(V111*1%,0)</f>
        <v>-80</v>
      </c>
      <c r="AD111" s="492">
        <v>0</v>
      </c>
      <c r="AE111" s="753">
        <f t="shared" si="96"/>
        <v>-80</v>
      </c>
      <c r="AF111" s="813">
        <v>0</v>
      </c>
      <c r="AG111" s="729">
        <v>0</v>
      </c>
      <c r="AH111" s="728">
        <v>0</v>
      </c>
      <c r="AI111" s="728">
        <v>0</v>
      </c>
      <c r="AJ111" s="326">
        <v>0</v>
      </c>
      <c r="AK111" s="326">
        <v>0</v>
      </c>
      <c r="AL111" s="609">
        <f>SUM(AF111:AK111)</f>
        <v>0</v>
      </c>
      <c r="AM111" s="676">
        <f>I111+AE111</f>
        <v>3442322</v>
      </c>
      <c r="AN111" s="492">
        <f>J111+V111</f>
        <v>2452897</v>
      </c>
      <c r="AO111" s="573">
        <f>K111+Z111</f>
        <v>101507</v>
      </c>
      <c r="AP111" s="492">
        <f t="shared" si="97"/>
        <v>863389</v>
      </c>
      <c r="AQ111" s="492">
        <f t="shared" si="97"/>
        <v>24529</v>
      </c>
      <c r="AR111" s="492">
        <f t="shared" si="97"/>
        <v>0</v>
      </c>
      <c r="AS111" s="609">
        <f>O111+AL111</f>
        <v>3.8065000000000002</v>
      </c>
    </row>
    <row r="112" spans="1:45" ht="12.95" customHeight="1" x14ac:dyDescent="0.25">
      <c r="A112" s="205">
        <v>28</v>
      </c>
      <c r="B112" s="143">
        <v>2303</v>
      </c>
      <c r="C112" s="143">
        <v>600080048</v>
      </c>
      <c r="D112" s="206">
        <v>72743689</v>
      </c>
      <c r="E112" s="294" t="s">
        <v>489</v>
      </c>
      <c r="F112" s="299">
        <v>3117</v>
      </c>
      <c r="G112" s="248" t="s">
        <v>278</v>
      </c>
      <c r="H112" s="210" t="s">
        <v>263</v>
      </c>
      <c r="I112" s="580">
        <v>0</v>
      </c>
      <c r="J112" s="490">
        <v>0</v>
      </c>
      <c r="K112" s="490">
        <v>0</v>
      </c>
      <c r="L112" s="55">
        <v>0</v>
      </c>
      <c r="M112" s="55">
        <v>0</v>
      </c>
      <c r="N112" s="490">
        <v>0</v>
      </c>
      <c r="O112" s="719">
        <v>0</v>
      </c>
      <c r="P112" s="327">
        <f t="shared" si="95"/>
        <v>0</v>
      </c>
      <c r="Q112" s="573">
        <v>0</v>
      </c>
      <c r="R112" s="325">
        <v>0</v>
      </c>
      <c r="S112" s="325">
        <v>0</v>
      </c>
      <c r="T112" s="325">
        <v>0</v>
      </c>
      <c r="U112" s="325">
        <v>0</v>
      </c>
      <c r="V112" s="492">
        <f>P112+Q112+R112+S112+T112+U112</f>
        <v>0</v>
      </c>
      <c r="W112" s="325">
        <v>0</v>
      </c>
      <c r="X112" s="325">
        <v>0</v>
      </c>
      <c r="Y112" s="325">
        <v>0</v>
      </c>
      <c r="Z112" s="492">
        <f>W112+X112+Y112</f>
        <v>0</v>
      </c>
      <c r="AA112" s="492">
        <f>V112+Z112</f>
        <v>0</v>
      </c>
      <c r="AB112" s="494">
        <f>ROUND((V112+Z112)*33.8%,0)</f>
        <v>0</v>
      </c>
      <c r="AC112" s="494">
        <f>ROUND(V112*1%,0)</f>
        <v>0</v>
      </c>
      <c r="AD112" s="492">
        <v>0</v>
      </c>
      <c r="AE112" s="753">
        <f t="shared" si="96"/>
        <v>0</v>
      </c>
      <c r="AF112" s="813">
        <v>0</v>
      </c>
      <c r="AG112" s="729">
        <v>0</v>
      </c>
      <c r="AH112" s="728">
        <v>0</v>
      </c>
      <c r="AI112" s="728">
        <v>0</v>
      </c>
      <c r="AJ112" s="326">
        <v>0</v>
      </c>
      <c r="AK112" s="326">
        <v>0</v>
      </c>
      <c r="AL112" s="609">
        <f>SUM(AF112:AK112)</f>
        <v>0</v>
      </c>
      <c r="AM112" s="676">
        <f>I112+AE112</f>
        <v>0</v>
      </c>
      <c r="AN112" s="492">
        <f>J112+V112</f>
        <v>0</v>
      </c>
      <c r="AO112" s="573">
        <f>K112+Z112</f>
        <v>0</v>
      </c>
      <c r="AP112" s="492">
        <f t="shared" si="97"/>
        <v>0</v>
      </c>
      <c r="AQ112" s="492">
        <f t="shared" si="97"/>
        <v>0</v>
      </c>
      <c r="AR112" s="492">
        <f t="shared" si="97"/>
        <v>0</v>
      </c>
      <c r="AS112" s="609">
        <f>O112+AL112</f>
        <v>0</v>
      </c>
    </row>
    <row r="113" spans="1:45" ht="12.95" customHeight="1" x14ac:dyDescent="0.25">
      <c r="A113" s="205">
        <v>28</v>
      </c>
      <c r="B113" s="143">
        <v>2303</v>
      </c>
      <c r="C113" s="143">
        <v>600080048</v>
      </c>
      <c r="D113" s="206">
        <v>72743689</v>
      </c>
      <c r="E113" s="294" t="s">
        <v>489</v>
      </c>
      <c r="F113" s="305">
        <v>3143</v>
      </c>
      <c r="G113" s="248" t="s">
        <v>794</v>
      </c>
      <c r="H113" s="210" t="s">
        <v>262</v>
      </c>
      <c r="I113" s="580">
        <v>1039016</v>
      </c>
      <c r="J113" s="490">
        <v>767806</v>
      </c>
      <c r="K113" s="490">
        <v>3000</v>
      </c>
      <c r="L113" s="55">
        <v>260532</v>
      </c>
      <c r="M113" s="55">
        <v>7678</v>
      </c>
      <c r="N113" s="490">
        <v>0</v>
      </c>
      <c r="O113" s="719">
        <v>1.5</v>
      </c>
      <c r="P113" s="327">
        <f t="shared" si="95"/>
        <v>-2000</v>
      </c>
      <c r="Q113" s="573">
        <v>0</v>
      </c>
      <c r="R113" s="325">
        <v>0</v>
      </c>
      <c r="S113" s="325">
        <v>0</v>
      </c>
      <c r="T113" s="325">
        <v>0</v>
      </c>
      <c r="U113" s="325">
        <v>0</v>
      </c>
      <c r="V113" s="492">
        <f>P113+Q113+R113+S113+T113+U113</f>
        <v>-2000</v>
      </c>
      <c r="W113" s="325">
        <v>2000</v>
      </c>
      <c r="X113" s="325">
        <v>0</v>
      </c>
      <c r="Y113" s="325">
        <v>0</v>
      </c>
      <c r="Z113" s="492">
        <f>W113+X113+Y113</f>
        <v>2000</v>
      </c>
      <c r="AA113" s="492">
        <f>V113+Z113</f>
        <v>0</v>
      </c>
      <c r="AB113" s="494">
        <f>ROUND((V113+Z113)*33.8%,0)</f>
        <v>0</v>
      </c>
      <c r="AC113" s="494">
        <f>ROUND(V113*1%,0)</f>
        <v>-20</v>
      </c>
      <c r="AD113" s="492">
        <v>0</v>
      </c>
      <c r="AE113" s="753">
        <f t="shared" si="96"/>
        <v>-20</v>
      </c>
      <c r="AF113" s="813">
        <v>0</v>
      </c>
      <c r="AG113" s="729">
        <v>0</v>
      </c>
      <c r="AH113" s="728">
        <v>0</v>
      </c>
      <c r="AI113" s="728">
        <v>0</v>
      </c>
      <c r="AJ113" s="326">
        <v>0</v>
      </c>
      <c r="AK113" s="326">
        <v>0</v>
      </c>
      <c r="AL113" s="609">
        <f>SUM(AF113:AK113)</f>
        <v>0</v>
      </c>
      <c r="AM113" s="676">
        <f>I113+AE113</f>
        <v>1038996</v>
      </c>
      <c r="AN113" s="492">
        <f>J113+V113</f>
        <v>765806</v>
      </c>
      <c r="AO113" s="573">
        <f>K113+Z113</f>
        <v>5000</v>
      </c>
      <c r="AP113" s="492">
        <f t="shared" si="97"/>
        <v>260532</v>
      </c>
      <c r="AQ113" s="492">
        <f t="shared" si="97"/>
        <v>7658</v>
      </c>
      <c r="AR113" s="492">
        <f t="shared" si="97"/>
        <v>0</v>
      </c>
      <c r="AS113" s="609">
        <f>O113+AL113</f>
        <v>1.5</v>
      </c>
    </row>
    <row r="114" spans="1:45" ht="12.95" customHeight="1" x14ac:dyDescent="0.25">
      <c r="A114" s="144">
        <v>28</v>
      </c>
      <c r="B114" s="41">
        <v>2303</v>
      </c>
      <c r="C114" s="41">
        <v>600080048</v>
      </c>
      <c r="D114" s="41">
        <v>72743689</v>
      </c>
      <c r="E114" s="306" t="s">
        <v>490</v>
      </c>
      <c r="F114" s="307"/>
      <c r="G114" s="306"/>
      <c r="H114" s="308"/>
      <c r="I114" s="650">
        <v>7814145</v>
      </c>
      <c r="J114" s="568">
        <v>5683186</v>
      </c>
      <c r="K114" s="568">
        <v>114507</v>
      </c>
      <c r="L114" s="368">
        <v>1959620</v>
      </c>
      <c r="M114" s="368">
        <v>56832</v>
      </c>
      <c r="N114" s="568">
        <v>0</v>
      </c>
      <c r="O114" s="734">
        <v>9.3064999999999998</v>
      </c>
      <c r="P114" s="655">
        <f t="shared" ref="P114:AS114" si="98">SUM(P110:P113)</f>
        <v>-22000</v>
      </c>
      <c r="Q114" s="467">
        <f t="shared" si="98"/>
        <v>0</v>
      </c>
      <c r="R114" s="368">
        <f t="shared" si="98"/>
        <v>0</v>
      </c>
      <c r="S114" s="368">
        <f t="shared" si="98"/>
        <v>0</v>
      </c>
      <c r="T114" s="368">
        <f t="shared" si="98"/>
        <v>0</v>
      </c>
      <c r="U114" s="368">
        <f t="shared" si="98"/>
        <v>0</v>
      </c>
      <c r="V114" s="368">
        <f t="shared" si="98"/>
        <v>-22000</v>
      </c>
      <c r="W114" s="368">
        <f t="shared" si="98"/>
        <v>22000</v>
      </c>
      <c r="X114" s="368">
        <f t="shared" si="98"/>
        <v>0</v>
      </c>
      <c r="Y114" s="368">
        <f t="shared" si="98"/>
        <v>0</v>
      </c>
      <c r="Z114" s="368">
        <f t="shared" si="98"/>
        <v>22000</v>
      </c>
      <c r="AA114" s="368">
        <f t="shared" si="98"/>
        <v>0</v>
      </c>
      <c r="AB114" s="368">
        <f t="shared" si="98"/>
        <v>0</v>
      </c>
      <c r="AC114" s="368">
        <f t="shared" si="98"/>
        <v>-220</v>
      </c>
      <c r="AD114" s="368">
        <f t="shared" si="98"/>
        <v>0</v>
      </c>
      <c r="AE114" s="809">
        <f t="shared" si="98"/>
        <v>-220</v>
      </c>
      <c r="AF114" s="816">
        <f t="shared" si="98"/>
        <v>0</v>
      </c>
      <c r="AG114" s="735">
        <f t="shared" si="98"/>
        <v>0</v>
      </c>
      <c r="AH114" s="735">
        <f t="shared" si="98"/>
        <v>0</v>
      </c>
      <c r="AI114" s="735">
        <f t="shared" si="98"/>
        <v>0</v>
      </c>
      <c r="AJ114" s="369">
        <f t="shared" si="98"/>
        <v>0</v>
      </c>
      <c r="AK114" s="369">
        <f t="shared" si="98"/>
        <v>0</v>
      </c>
      <c r="AL114" s="302">
        <f t="shared" si="98"/>
        <v>0</v>
      </c>
      <c r="AM114" s="655">
        <f t="shared" si="98"/>
        <v>7813925</v>
      </c>
      <c r="AN114" s="467">
        <f t="shared" si="98"/>
        <v>5661186</v>
      </c>
      <c r="AO114" s="368">
        <f t="shared" si="98"/>
        <v>136507</v>
      </c>
      <c r="AP114" s="368">
        <f t="shared" si="98"/>
        <v>1959620</v>
      </c>
      <c r="AQ114" s="368">
        <f t="shared" si="98"/>
        <v>56612</v>
      </c>
      <c r="AR114" s="368">
        <f t="shared" si="98"/>
        <v>0</v>
      </c>
      <c r="AS114" s="302">
        <f t="shared" si="98"/>
        <v>9.3064999999999998</v>
      </c>
    </row>
    <row r="115" spans="1:45" ht="12.95" customHeight="1" x14ac:dyDescent="0.25">
      <c r="A115" s="205">
        <v>29</v>
      </c>
      <c r="B115" s="143">
        <v>5437</v>
      </c>
      <c r="C115" s="143">
        <v>600098931</v>
      </c>
      <c r="D115" s="206">
        <v>72742135</v>
      </c>
      <c r="E115" s="295" t="s">
        <v>491</v>
      </c>
      <c r="F115" s="143">
        <v>3111</v>
      </c>
      <c r="G115" s="296" t="s">
        <v>290</v>
      </c>
      <c r="H115" s="210" t="s">
        <v>262</v>
      </c>
      <c r="I115" s="580">
        <v>4830198</v>
      </c>
      <c r="J115" s="490">
        <v>3583233</v>
      </c>
      <c r="K115" s="490">
        <v>0</v>
      </c>
      <c r="L115" s="55">
        <v>1211133</v>
      </c>
      <c r="M115" s="55">
        <v>35832</v>
      </c>
      <c r="N115" s="490">
        <v>0</v>
      </c>
      <c r="O115" s="719">
        <v>6.24</v>
      </c>
      <c r="P115" s="552">
        <f>W115*-1</f>
        <v>0</v>
      </c>
      <c r="Q115" s="573">
        <v>0</v>
      </c>
      <c r="R115" s="325">
        <v>0</v>
      </c>
      <c r="S115" s="325">
        <v>0</v>
      </c>
      <c r="T115" s="325">
        <v>0</v>
      </c>
      <c r="U115" s="325">
        <v>0</v>
      </c>
      <c r="V115" s="492">
        <f>P115+Q115+R115+S115+T115+U115</f>
        <v>0</v>
      </c>
      <c r="W115" s="325">
        <v>0</v>
      </c>
      <c r="X115" s="325">
        <v>0</v>
      </c>
      <c r="Y115" s="325">
        <v>0</v>
      </c>
      <c r="Z115" s="492">
        <f>W115+X115+Y115</f>
        <v>0</v>
      </c>
      <c r="AA115" s="492">
        <f>V115+Z115</f>
        <v>0</v>
      </c>
      <c r="AB115" s="494">
        <f>ROUND((V115+Z115)*33.8%,0)</f>
        <v>0</v>
      </c>
      <c r="AC115" s="494">
        <f>ROUND(V115*1%,0)</f>
        <v>0</v>
      </c>
      <c r="AD115" s="492">
        <v>0</v>
      </c>
      <c r="AE115" s="753">
        <f t="shared" ref="AE115" si="99">AA115+AB115+AC115+AD115</f>
        <v>0</v>
      </c>
      <c r="AF115" s="813">
        <v>0</v>
      </c>
      <c r="AG115" s="729">
        <v>0</v>
      </c>
      <c r="AH115" s="728">
        <v>0</v>
      </c>
      <c r="AI115" s="728">
        <v>0</v>
      </c>
      <c r="AJ115" s="326">
        <v>0</v>
      </c>
      <c r="AK115" s="326">
        <v>0</v>
      </c>
      <c r="AL115" s="609">
        <f>SUM(AF115:AK115)</f>
        <v>0</v>
      </c>
      <c r="AM115" s="676">
        <f>I115+AE115</f>
        <v>4830198</v>
      </c>
      <c r="AN115" s="492">
        <f>J115+V115</f>
        <v>3583233</v>
      </c>
      <c r="AO115" s="573">
        <f>K115+Z115</f>
        <v>0</v>
      </c>
      <c r="AP115" s="492">
        <f>L115+AB115</f>
        <v>1211133</v>
      </c>
      <c r="AQ115" s="492">
        <f>M115+AC115</f>
        <v>35832</v>
      </c>
      <c r="AR115" s="492">
        <f>N115+AD115</f>
        <v>0</v>
      </c>
      <c r="AS115" s="609">
        <f>O115+AL115</f>
        <v>6.24</v>
      </c>
    </row>
    <row r="116" spans="1:45" ht="12.95" customHeight="1" x14ac:dyDescent="0.25">
      <c r="A116" s="144">
        <v>29</v>
      </c>
      <c r="B116" s="41">
        <v>5437</v>
      </c>
      <c r="C116" s="41">
        <v>600098931</v>
      </c>
      <c r="D116" s="41">
        <v>72742135</v>
      </c>
      <c r="E116" s="297" t="s">
        <v>492</v>
      </c>
      <c r="F116" s="41"/>
      <c r="G116" s="297"/>
      <c r="H116" s="128"/>
      <c r="I116" s="650">
        <v>4830198</v>
      </c>
      <c r="J116" s="568">
        <v>3583233</v>
      </c>
      <c r="K116" s="568">
        <v>0</v>
      </c>
      <c r="L116" s="368">
        <v>1211133</v>
      </c>
      <c r="M116" s="368">
        <v>35832</v>
      </c>
      <c r="N116" s="568">
        <v>0</v>
      </c>
      <c r="O116" s="734">
        <v>6.24</v>
      </c>
      <c r="P116" s="655">
        <f t="shared" ref="P116:AS116" si="100">SUM(P115:P115)</f>
        <v>0</v>
      </c>
      <c r="Q116" s="467">
        <f t="shared" si="100"/>
        <v>0</v>
      </c>
      <c r="R116" s="368">
        <f t="shared" si="100"/>
        <v>0</v>
      </c>
      <c r="S116" s="368">
        <f t="shared" si="100"/>
        <v>0</v>
      </c>
      <c r="T116" s="368">
        <f t="shared" si="100"/>
        <v>0</v>
      </c>
      <c r="U116" s="368">
        <f t="shared" si="100"/>
        <v>0</v>
      </c>
      <c r="V116" s="368">
        <f t="shared" si="100"/>
        <v>0</v>
      </c>
      <c r="W116" s="368">
        <f t="shared" si="100"/>
        <v>0</v>
      </c>
      <c r="X116" s="368">
        <f t="shared" si="100"/>
        <v>0</v>
      </c>
      <c r="Y116" s="368">
        <f t="shared" si="100"/>
        <v>0</v>
      </c>
      <c r="Z116" s="368">
        <f t="shared" si="100"/>
        <v>0</v>
      </c>
      <c r="AA116" s="368">
        <f t="shared" si="100"/>
        <v>0</v>
      </c>
      <c r="AB116" s="368">
        <f t="shared" si="100"/>
        <v>0</v>
      </c>
      <c r="AC116" s="368">
        <f t="shared" si="100"/>
        <v>0</v>
      </c>
      <c r="AD116" s="368">
        <f t="shared" si="100"/>
        <v>0</v>
      </c>
      <c r="AE116" s="809">
        <f t="shared" si="100"/>
        <v>0</v>
      </c>
      <c r="AF116" s="816">
        <f t="shared" si="100"/>
        <v>0</v>
      </c>
      <c r="AG116" s="735">
        <f t="shared" si="100"/>
        <v>0</v>
      </c>
      <c r="AH116" s="735">
        <f t="shared" si="100"/>
        <v>0</v>
      </c>
      <c r="AI116" s="735">
        <f t="shared" si="100"/>
        <v>0</v>
      </c>
      <c r="AJ116" s="369">
        <f t="shared" si="100"/>
        <v>0</v>
      </c>
      <c r="AK116" s="369">
        <f t="shared" si="100"/>
        <v>0</v>
      </c>
      <c r="AL116" s="302">
        <f t="shared" si="100"/>
        <v>0</v>
      </c>
      <c r="AM116" s="655">
        <f t="shared" si="100"/>
        <v>4830198</v>
      </c>
      <c r="AN116" s="467">
        <f t="shared" si="100"/>
        <v>3583233</v>
      </c>
      <c r="AO116" s="368">
        <f t="shared" si="100"/>
        <v>0</v>
      </c>
      <c r="AP116" s="368">
        <f t="shared" si="100"/>
        <v>1211133</v>
      </c>
      <c r="AQ116" s="368">
        <f t="shared" si="100"/>
        <v>35832</v>
      </c>
      <c r="AR116" s="368">
        <f t="shared" si="100"/>
        <v>0</v>
      </c>
      <c r="AS116" s="302">
        <f t="shared" si="100"/>
        <v>6.24</v>
      </c>
    </row>
    <row r="117" spans="1:45" ht="12.95" customHeight="1" x14ac:dyDescent="0.25">
      <c r="A117" s="205">
        <v>30</v>
      </c>
      <c r="B117" s="299">
        <v>5438</v>
      </c>
      <c r="C117" s="299">
        <v>600099032</v>
      </c>
      <c r="D117" s="206">
        <v>72742054</v>
      </c>
      <c r="E117" s="142" t="s">
        <v>493</v>
      </c>
      <c r="F117" s="143">
        <v>3117</v>
      </c>
      <c r="G117" s="295" t="s">
        <v>294</v>
      </c>
      <c r="H117" s="210" t="s">
        <v>262</v>
      </c>
      <c r="I117" s="580">
        <v>3464558</v>
      </c>
      <c r="J117" s="490">
        <v>2570147</v>
      </c>
      <c r="K117" s="490">
        <v>0</v>
      </c>
      <c r="L117" s="55">
        <v>868709</v>
      </c>
      <c r="M117" s="55">
        <v>25702</v>
      </c>
      <c r="N117" s="490">
        <v>0</v>
      </c>
      <c r="O117" s="719">
        <v>3.6589999999999998</v>
      </c>
      <c r="P117" s="552">
        <f>W117*-1</f>
        <v>0</v>
      </c>
      <c r="Q117" s="573">
        <v>0</v>
      </c>
      <c r="R117" s="325">
        <v>0</v>
      </c>
      <c r="S117" s="325">
        <v>0</v>
      </c>
      <c r="T117" s="325">
        <v>0</v>
      </c>
      <c r="U117" s="325">
        <v>0</v>
      </c>
      <c r="V117" s="492">
        <f>P117+Q117+R117+S117+T117+U117</f>
        <v>0</v>
      </c>
      <c r="W117" s="325">
        <v>0</v>
      </c>
      <c r="X117" s="325">
        <v>0</v>
      </c>
      <c r="Y117" s="325">
        <v>0</v>
      </c>
      <c r="Z117" s="492">
        <f>W117+X117+Y117</f>
        <v>0</v>
      </c>
      <c r="AA117" s="492">
        <f>V117+Z117</f>
        <v>0</v>
      </c>
      <c r="AB117" s="494">
        <f>ROUND((V117+Z117)*33.8%,0)</f>
        <v>0</v>
      </c>
      <c r="AC117" s="494">
        <f>ROUND(V117*1%,0)</f>
        <v>0</v>
      </c>
      <c r="AD117" s="492">
        <v>0</v>
      </c>
      <c r="AE117" s="753">
        <f t="shared" ref="AE117:AE119" si="101">AA117+AB117+AC117+AD117</f>
        <v>0</v>
      </c>
      <c r="AF117" s="813">
        <v>0</v>
      </c>
      <c r="AG117" s="729">
        <v>0</v>
      </c>
      <c r="AH117" s="728">
        <v>0</v>
      </c>
      <c r="AI117" s="728">
        <v>0</v>
      </c>
      <c r="AJ117" s="326">
        <v>0</v>
      </c>
      <c r="AK117" s="326">
        <v>0</v>
      </c>
      <c r="AL117" s="609">
        <f>SUM(AF117:AK117)</f>
        <v>0</v>
      </c>
      <c r="AM117" s="676">
        <f>I117+AE117</f>
        <v>3464558</v>
      </c>
      <c r="AN117" s="492">
        <f>J117+V117</f>
        <v>2570147</v>
      </c>
      <c r="AO117" s="573">
        <f>K117+Z117</f>
        <v>0</v>
      </c>
      <c r="AP117" s="492">
        <f t="shared" ref="AP117:AR119" si="102">L117+AB117</f>
        <v>868709</v>
      </c>
      <c r="AQ117" s="492">
        <f t="shared" si="102"/>
        <v>25702</v>
      </c>
      <c r="AR117" s="492">
        <f t="shared" si="102"/>
        <v>0</v>
      </c>
      <c r="AS117" s="609">
        <f>O117+AL117</f>
        <v>3.6589999999999998</v>
      </c>
    </row>
    <row r="118" spans="1:45" ht="12.95" customHeight="1" x14ac:dyDescent="0.25">
      <c r="A118" s="205">
        <v>30</v>
      </c>
      <c r="B118" s="143">
        <v>5438</v>
      </c>
      <c r="C118" s="143">
        <v>600099032</v>
      </c>
      <c r="D118" s="206">
        <v>72742054</v>
      </c>
      <c r="E118" s="294" t="s">
        <v>493</v>
      </c>
      <c r="F118" s="143">
        <v>3117</v>
      </c>
      <c r="G118" s="248" t="s">
        <v>278</v>
      </c>
      <c r="H118" s="210" t="s">
        <v>263</v>
      </c>
      <c r="I118" s="580">
        <v>0</v>
      </c>
      <c r="J118" s="490">
        <v>0</v>
      </c>
      <c r="K118" s="490">
        <v>0</v>
      </c>
      <c r="L118" s="55">
        <v>0</v>
      </c>
      <c r="M118" s="55">
        <v>0</v>
      </c>
      <c r="N118" s="490">
        <v>0</v>
      </c>
      <c r="O118" s="719">
        <v>0</v>
      </c>
      <c r="P118" s="327">
        <f>W118*-1</f>
        <v>0</v>
      </c>
      <c r="Q118" s="573">
        <v>0</v>
      </c>
      <c r="R118" s="325">
        <v>0</v>
      </c>
      <c r="S118" s="325">
        <v>0</v>
      </c>
      <c r="T118" s="325">
        <v>0</v>
      </c>
      <c r="U118" s="325">
        <v>0</v>
      </c>
      <c r="V118" s="492">
        <f>P118+Q118+R118+S118+T118+U118</f>
        <v>0</v>
      </c>
      <c r="W118" s="325">
        <v>0</v>
      </c>
      <c r="X118" s="325">
        <v>0</v>
      </c>
      <c r="Y118" s="325">
        <v>0</v>
      </c>
      <c r="Z118" s="492">
        <f>W118+X118+Y118</f>
        <v>0</v>
      </c>
      <c r="AA118" s="492">
        <f>V118+Z118</f>
        <v>0</v>
      </c>
      <c r="AB118" s="494">
        <f>ROUND((V118+Z118)*33.8%,0)</f>
        <v>0</v>
      </c>
      <c r="AC118" s="494">
        <f>ROUND(V118*1%,0)</f>
        <v>0</v>
      </c>
      <c r="AD118" s="492">
        <v>0</v>
      </c>
      <c r="AE118" s="753">
        <f t="shared" si="101"/>
        <v>0</v>
      </c>
      <c r="AF118" s="813">
        <v>0</v>
      </c>
      <c r="AG118" s="729">
        <v>0</v>
      </c>
      <c r="AH118" s="728">
        <v>0</v>
      </c>
      <c r="AI118" s="728">
        <v>0</v>
      </c>
      <c r="AJ118" s="326">
        <v>0</v>
      </c>
      <c r="AK118" s="326">
        <v>0</v>
      </c>
      <c r="AL118" s="609">
        <f>SUM(AF118:AK118)</f>
        <v>0</v>
      </c>
      <c r="AM118" s="676">
        <f>I118+AE118</f>
        <v>0</v>
      </c>
      <c r="AN118" s="492">
        <f>J118+V118</f>
        <v>0</v>
      </c>
      <c r="AO118" s="573">
        <f>K118+Z118</f>
        <v>0</v>
      </c>
      <c r="AP118" s="492">
        <f t="shared" si="102"/>
        <v>0</v>
      </c>
      <c r="AQ118" s="492">
        <f t="shared" si="102"/>
        <v>0</v>
      </c>
      <c r="AR118" s="492">
        <f t="shared" si="102"/>
        <v>0</v>
      </c>
      <c r="AS118" s="609">
        <f>O118+AL118</f>
        <v>0</v>
      </c>
    </row>
    <row r="119" spans="1:45" ht="12.95" customHeight="1" x14ac:dyDescent="0.25">
      <c r="A119" s="205">
        <v>30</v>
      </c>
      <c r="B119" s="143">
        <v>5438</v>
      </c>
      <c r="C119" s="143">
        <v>600099032</v>
      </c>
      <c r="D119" s="206">
        <v>72742054</v>
      </c>
      <c r="E119" s="294" t="s">
        <v>493</v>
      </c>
      <c r="F119" s="305">
        <v>3143</v>
      </c>
      <c r="G119" s="248" t="s">
        <v>794</v>
      </c>
      <c r="H119" s="210" t="s">
        <v>262</v>
      </c>
      <c r="I119" s="580">
        <v>831882</v>
      </c>
      <c r="J119" s="490">
        <v>617123</v>
      </c>
      <c r="K119" s="490">
        <v>0</v>
      </c>
      <c r="L119" s="55">
        <v>208588</v>
      </c>
      <c r="M119" s="55">
        <v>6171</v>
      </c>
      <c r="N119" s="490">
        <v>0</v>
      </c>
      <c r="O119" s="719">
        <v>1.125</v>
      </c>
      <c r="P119" s="327">
        <f>W119*-1</f>
        <v>0</v>
      </c>
      <c r="Q119" s="573">
        <v>0</v>
      </c>
      <c r="R119" s="325">
        <v>0</v>
      </c>
      <c r="S119" s="325">
        <v>0</v>
      </c>
      <c r="T119" s="325">
        <v>0</v>
      </c>
      <c r="U119" s="325">
        <v>0</v>
      </c>
      <c r="V119" s="492">
        <f>P119+Q119+R119+S119+T119+U119</f>
        <v>0</v>
      </c>
      <c r="W119" s="325">
        <v>0</v>
      </c>
      <c r="X119" s="325">
        <v>0</v>
      </c>
      <c r="Y119" s="325">
        <v>0</v>
      </c>
      <c r="Z119" s="492">
        <f>W119+X119+Y119</f>
        <v>0</v>
      </c>
      <c r="AA119" s="492">
        <f>V119+Z119</f>
        <v>0</v>
      </c>
      <c r="AB119" s="494">
        <f>ROUND((V119+Z119)*33.8%,0)</f>
        <v>0</v>
      </c>
      <c r="AC119" s="494">
        <f>ROUND(V119*1%,0)</f>
        <v>0</v>
      </c>
      <c r="AD119" s="492">
        <v>0</v>
      </c>
      <c r="AE119" s="753">
        <f t="shared" si="101"/>
        <v>0</v>
      </c>
      <c r="AF119" s="813">
        <v>0</v>
      </c>
      <c r="AG119" s="729">
        <v>0</v>
      </c>
      <c r="AH119" s="728">
        <v>0</v>
      </c>
      <c r="AI119" s="728">
        <v>0</v>
      </c>
      <c r="AJ119" s="326">
        <v>0</v>
      </c>
      <c r="AK119" s="326">
        <v>0</v>
      </c>
      <c r="AL119" s="609">
        <f>SUM(AF119:AK119)</f>
        <v>0</v>
      </c>
      <c r="AM119" s="676">
        <f>I119+AE119</f>
        <v>831882</v>
      </c>
      <c r="AN119" s="492">
        <f>J119+V119</f>
        <v>617123</v>
      </c>
      <c r="AO119" s="573">
        <f>K119+Z119</f>
        <v>0</v>
      </c>
      <c r="AP119" s="492">
        <f t="shared" si="102"/>
        <v>208588</v>
      </c>
      <c r="AQ119" s="492">
        <f t="shared" si="102"/>
        <v>6171</v>
      </c>
      <c r="AR119" s="492">
        <f t="shared" si="102"/>
        <v>0</v>
      </c>
      <c r="AS119" s="609">
        <f>O119+AL119</f>
        <v>1.125</v>
      </c>
    </row>
    <row r="120" spans="1:45" ht="12.95" customHeight="1" x14ac:dyDescent="0.25">
      <c r="A120" s="144">
        <v>30</v>
      </c>
      <c r="B120" s="41">
        <v>5438</v>
      </c>
      <c r="C120" s="41">
        <v>600099032</v>
      </c>
      <c r="D120" s="41">
        <v>72742054</v>
      </c>
      <c r="E120" s="306" t="s">
        <v>494</v>
      </c>
      <c r="F120" s="307"/>
      <c r="G120" s="306"/>
      <c r="H120" s="308"/>
      <c r="I120" s="650">
        <v>4296440</v>
      </c>
      <c r="J120" s="568">
        <v>3187270</v>
      </c>
      <c r="K120" s="568">
        <v>0</v>
      </c>
      <c r="L120" s="368">
        <v>1077297</v>
      </c>
      <c r="M120" s="368">
        <v>31873</v>
      </c>
      <c r="N120" s="568">
        <v>0</v>
      </c>
      <c r="O120" s="734">
        <v>4.7839999999999998</v>
      </c>
      <c r="P120" s="655">
        <f t="shared" ref="P120:AS120" si="103">SUM(P117:P119)</f>
        <v>0</v>
      </c>
      <c r="Q120" s="467">
        <f t="shared" si="103"/>
        <v>0</v>
      </c>
      <c r="R120" s="368">
        <f t="shared" si="103"/>
        <v>0</v>
      </c>
      <c r="S120" s="368">
        <f t="shared" si="103"/>
        <v>0</v>
      </c>
      <c r="T120" s="368">
        <f t="shared" si="103"/>
        <v>0</v>
      </c>
      <c r="U120" s="368">
        <f t="shared" si="103"/>
        <v>0</v>
      </c>
      <c r="V120" s="368">
        <f t="shared" si="103"/>
        <v>0</v>
      </c>
      <c r="W120" s="368">
        <f t="shared" si="103"/>
        <v>0</v>
      </c>
      <c r="X120" s="368">
        <f t="shared" si="103"/>
        <v>0</v>
      </c>
      <c r="Y120" s="368">
        <f t="shared" si="103"/>
        <v>0</v>
      </c>
      <c r="Z120" s="368">
        <f t="shared" si="103"/>
        <v>0</v>
      </c>
      <c r="AA120" s="368">
        <f t="shared" si="103"/>
        <v>0</v>
      </c>
      <c r="AB120" s="368">
        <f t="shared" si="103"/>
        <v>0</v>
      </c>
      <c r="AC120" s="368">
        <f t="shared" si="103"/>
        <v>0</v>
      </c>
      <c r="AD120" s="368">
        <f t="shared" si="103"/>
        <v>0</v>
      </c>
      <c r="AE120" s="809">
        <f t="shared" si="103"/>
        <v>0</v>
      </c>
      <c r="AF120" s="816">
        <f t="shared" si="103"/>
        <v>0</v>
      </c>
      <c r="AG120" s="735">
        <f t="shared" si="103"/>
        <v>0</v>
      </c>
      <c r="AH120" s="735">
        <f t="shared" si="103"/>
        <v>0</v>
      </c>
      <c r="AI120" s="735">
        <f t="shared" si="103"/>
        <v>0</v>
      </c>
      <c r="AJ120" s="369">
        <f t="shared" si="103"/>
        <v>0</v>
      </c>
      <c r="AK120" s="369">
        <f t="shared" si="103"/>
        <v>0</v>
      </c>
      <c r="AL120" s="302">
        <f t="shared" si="103"/>
        <v>0</v>
      </c>
      <c r="AM120" s="655">
        <f t="shared" si="103"/>
        <v>4296440</v>
      </c>
      <c r="AN120" s="467">
        <f t="shared" si="103"/>
        <v>3187270</v>
      </c>
      <c r="AO120" s="368">
        <f t="shared" si="103"/>
        <v>0</v>
      </c>
      <c r="AP120" s="368">
        <f t="shared" si="103"/>
        <v>1077297</v>
      </c>
      <c r="AQ120" s="368">
        <f t="shared" si="103"/>
        <v>31873</v>
      </c>
      <c r="AR120" s="368">
        <f t="shared" si="103"/>
        <v>0</v>
      </c>
      <c r="AS120" s="302">
        <f t="shared" si="103"/>
        <v>4.7839999999999998</v>
      </c>
    </row>
    <row r="121" spans="1:45" ht="12.95" customHeight="1" x14ac:dyDescent="0.25">
      <c r="A121" s="205">
        <v>31</v>
      </c>
      <c r="B121" s="143">
        <v>2441</v>
      </c>
      <c r="C121" s="143">
        <v>600079406</v>
      </c>
      <c r="D121" s="206">
        <v>70695920</v>
      </c>
      <c r="E121" s="295" t="s">
        <v>495</v>
      </c>
      <c r="F121" s="143">
        <v>3111</v>
      </c>
      <c r="G121" s="296" t="s">
        <v>290</v>
      </c>
      <c r="H121" s="210" t="s">
        <v>262</v>
      </c>
      <c r="I121" s="580">
        <v>3230519</v>
      </c>
      <c r="J121" s="490">
        <v>2396528</v>
      </c>
      <c r="K121" s="490">
        <v>0</v>
      </c>
      <c r="L121" s="55">
        <v>810026</v>
      </c>
      <c r="M121" s="55">
        <v>23965</v>
      </c>
      <c r="N121" s="490">
        <v>0</v>
      </c>
      <c r="O121" s="719">
        <v>3.871</v>
      </c>
      <c r="P121" s="552">
        <f>W121*-1</f>
        <v>0</v>
      </c>
      <c r="Q121" s="573">
        <v>0</v>
      </c>
      <c r="R121" s="325">
        <v>0</v>
      </c>
      <c r="S121" s="325">
        <v>0</v>
      </c>
      <c r="T121" s="325">
        <v>0</v>
      </c>
      <c r="U121" s="325">
        <v>0</v>
      </c>
      <c r="V121" s="492">
        <f>P121+Q121+R121+S121+T121+U121</f>
        <v>0</v>
      </c>
      <c r="W121" s="325">
        <v>0</v>
      </c>
      <c r="X121" s="325">
        <v>0</v>
      </c>
      <c r="Y121" s="325">
        <v>0</v>
      </c>
      <c r="Z121" s="492">
        <f>W121+X121+Y121</f>
        <v>0</v>
      </c>
      <c r="AA121" s="492">
        <f>V121+Z121</f>
        <v>0</v>
      </c>
      <c r="AB121" s="494">
        <f>ROUND((V121+Z121)*33.8%,0)</f>
        <v>0</v>
      </c>
      <c r="AC121" s="494">
        <f>ROUND(V121*1%,0)</f>
        <v>0</v>
      </c>
      <c r="AD121" s="492">
        <v>0</v>
      </c>
      <c r="AE121" s="753">
        <f t="shared" ref="AE121" si="104">AA121+AB121+AC121+AD121</f>
        <v>0</v>
      </c>
      <c r="AF121" s="813">
        <v>0</v>
      </c>
      <c r="AG121" s="729">
        <v>0</v>
      </c>
      <c r="AH121" s="728">
        <v>0</v>
      </c>
      <c r="AI121" s="728">
        <v>0</v>
      </c>
      <c r="AJ121" s="326">
        <v>0</v>
      </c>
      <c r="AK121" s="326">
        <v>0</v>
      </c>
      <c r="AL121" s="609">
        <f>SUM(AF121:AK121)</f>
        <v>0</v>
      </c>
      <c r="AM121" s="676">
        <f>I121+AE121</f>
        <v>3230519</v>
      </c>
      <c r="AN121" s="492">
        <f>J121+V121</f>
        <v>2396528</v>
      </c>
      <c r="AO121" s="573">
        <f>K121+Z121</f>
        <v>0</v>
      </c>
      <c r="AP121" s="492">
        <f>L121+AB121</f>
        <v>810026</v>
      </c>
      <c r="AQ121" s="492">
        <f>M121+AC121</f>
        <v>23965</v>
      </c>
      <c r="AR121" s="492">
        <f>N121+AD121</f>
        <v>0</v>
      </c>
      <c r="AS121" s="609">
        <f>O121+AL121</f>
        <v>3.871</v>
      </c>
    </row>
    <row r="122" spans="1:45" ht="12.95" customHeight="1" x14ac:dyDescent="0.25">
      <c r="A122" s="144">
        <v>31</v>
      </c>
      <c r="B122" s="42">
        <v>2441</v>
      </c>
      <c r="C122" s="42">
        <v>600079406</v>
      </c>
      <c r="D122" s="42">
        <v>70695920</v>
      </c>
      <c r="E122" s="297" t="s">
        <v>496</v>
      </c>
      <c r="F122" s="44"/>
      <c r="G122" s="310"/>
      <c r="H122" s="131"/>
      <c r="I122" s="650">
        <v>3230519</v>
      </c>
      <c r="J122" s="568">
        <v>2396528</v>
      </c>
      <c r="K122" s="568">
        <v>0</v>
      </c>
      <c r="L122" s="368">
        <v>810026</v>
      </c>
      <c r="M122" s="368">
        <v>23965</v>
      </c>
      <c r="N122" s="568">
        <v>0</v>
      </c>
      <c r="O122" s="734">
        <v>3.871</v>
      </c>
      <c r="P122" s="655">
        <f t="shared" ref="P122:AS122" si="105">SUM(P121:P121)</f>
        <v>0</v>
      </c>
      <c r="Q122" s="467">
        <f t="shared" si="105"/>
        <v>0</v>
      </c>
      <c r="R122" s="368">
        <f t="shared" si="105"/>
        <v>0</v>
      </c>
      <c r="S122" s="368">
        <f t="shared" si="105"/>
        <v>0</v>
      </c>
      <c r="T122" s="368">
        <f t="shared" si="105"/>
        <v>0</v>
      </c>
      <c r="U122" s="368">
        <f t="shared" si="105"/>
        <v>0</v>
      </c>
      <c r="V122" s="368">
        <f t="shared" si="105"/>
        <v>0</v>
      </c>
      <c r="W122" s="368">
        <f t="shared" si="105"/>
        <v>0</v>
      </c>
      <c r="X122" s="368">
        <f t="shared" si="105"/>
        <v>0</v>
      </c>
      <c r="Y122" s="368">
        <f t="shared" si="105"/>
        <v>0</v>
      </c>
      <c r="Z122" s="368">
        <f t="shared" si="105"/>
        <v>0</v>
      </c>
      <c r="AA122" s="368">
        <f t="shared" si="105"/>
        <v>0</v>
      </c>
      <c r="AB122" s="368">
        <f t="shared" si="105"/>
        <v>0</v>
      </c>
      <c r="AC122" s="368">
        <f t="shared" si="105"/>
        <v>0</v>
      </c>
      <c r="AD122" s="368">
        <f t="shared" si="105"/>
        <v>0</v>
      </c>
      <c r="AE122" s="809">
        <f t="shared" si="105"/>
        <v>0</v>
      </c>
      <c r="AF122" s="816">
        <f t="shared" si="105"/>
        <v>0</v>
      </c>
      <c r="AG122" s="735">
        <f t="shared" si="105"/>
        <v>0</v>
      </c>
      <c r="AH122" s="735">
        <f t="shared" si="105"/>
        <v>0</v>
      </c>
      <c r="AI122" s="735">
        <f t="shared" si="105"/>
        <v>0</v>
      </c>
      <c r="AJ122" s="369">
        <f t="shared" si="105"/>
        <v>0</v>
      </c>
      <c r="AK122" s="369">
        <f t="shared" si="105"/>
        <v>0</v>
      </c>
      <c r="AL122" s="302">
        <f t="shared" si="105"/>
        <v>0</v>
      </c>
      <c r="AM122" s="655">
        <f t="shared" si="105"/>
        <v>3230519</v>
      </c>
      <c r="AN122" s="467">
        <f t="shared" si="105"/>
        <v>2396528</v>
      </c>
      <c r="AO122" s="368">
        <f t="shared" si="105"/>
        <v>0</v>
      </c>
      <c r="AP122" s="368">
        <f t="shared" si="105"/>
        <v>810026</v>
      </c>
      <c r="AQ122" s="368">
        <f t="shared" si="105"/>
        <v>23965</v>
      </c>
      <c r="AR122" s="368">
        <f t="shared" si="105"/>
        <v>0</v>
      </c>
      <c r="AS122" s="302">
        <f t="shared" si="105"/>
        <v>3.871</v>
      </c>
    </row>
    <row r="123" spans="1:45" ht="12.95" customHeight="1" x14ac:dyDescent="0.25">
      <c r="A123" s="205">
        <v>32</v>
      </c>
      <c r="B123" s="143">
        <v>2496</v>
      </c>
      <c r="C123" s="143">
        <v>600080251</v>
      </c>
      <c r="D123" s="206">
        <v>70695938</v>
      </c>
      <c r="E123" s="295" t="s">
        <v>497</v>
      </c>
      <c r="F123" s="143">
        <v>3117</v>
      </c>
      <c r="G123" s="295" t="s">
        <v>294</v>
      </c>
      <c r="H123" s="210" t="s">
        <v>262</v>
      </c>
      <c r="I123" s="580">
        <v>5792326</v>
      </c>
      <c r="J123" s="490">
        <v>4296978</v>
      </c>
      <c r="K123" s="490">
        <v>0</v>
      </c>
      <c r="L123" s="55">
        <v>1452378</v>
      </c>
      <c r="M123" s="55">
        <v>42970</v>
      </c>
      <c r="N123" s="490">
        <v>0</v>
      </c>
      <c r="O123" s="719">
        <v>6</v>
      </c>
      <c r="P123" s="552">
        <f>W123*-1</f>
        <v>0</v>
      </c>
      <c r="Q123" s="573">
        <v>0</v>
      </c>
      <c r="R123" s="325">
        <v>0</v>
      </c>
      <c r="S123" s="325">
        <v>0</v>
      </c>
      <c r="T123" s="325">
        <v>0</v>
      </c>
      <c r="U123" s="325">
        <v>0</v>
      </c>
      <c r="V123" s="492">
        <f>P123+Q123+R123+S123+T123+U123</f>
        <v>0</v>
      </c>
      <c r="W123" s="325">
        <v>0</v>
      </c>
      <c r="X123" s="325">
        <v>0</v>
      </c>
      <c r="Y123" s="325">
        <v>0</v>
      </c>
      <c r="Z123" s="492">
        <f>W123+X123+Y123</f>
        <v>0</v>
      </c>
      <c r="AA123" s="492">
        <f>V123+Z123</f>
        <v>0</v>
      </c>
      <c r="AB123" s="494">
        <f>ROUND((V123+Z123)*33.8%,0)</f>
        <v>0</v>
      </c>
      <c r="AC123" s="494">
        <f>ROUND(V123*1%,0)</f>
        <v>0</v>
      </c>
      <c r="AD123" s="492">
        <v>0</v>
      </c>
      <c r="AE123" s="753">
        <f t="shared" ref="AE123:AE125" si="106">AA123+AB123+AC123+AD123</f>
        <v>0</v>
      </c>
      <c r="AF123" s="813">
        <v>0</v>
      </c>
      <c r="AG123" s="729">
        <v>0</v>
      </c>
      <c r="AH123" s="728">
        <v>0</v>
      </c>
      <c r="AI123" s="728">
        <v>0</v>
      </c>
      <c r="AJ123" s="326">
        <v>0</v>
      </c>
      <c r="AK123" s="326">
        <v>0</v>
      </c>
      <c r="AL123" s="609">
        <f>SUM(AF123:AK123)</f>
        <v>0</v>
      </c>
      <c r="AM123" s="676">
        <f>I123+AE123</f>
        <v>5792326</v>
      </c>
      <c r="AN123" s="492">
        <f>J123+V123</f>
        <v>4296978</v>
      </c>
      <c r="AO123" s="573">
        <f>K123+Z123</f>
        <v>0</v>
      </c>
      <c r="AP123" s="492">
        <f t="shared" ref="AP123:AR125" si="107">L123+AB123</f>
        <v>1452378</v>
      </c>
      <c r="AQ123" s="492">
        <f t="shared" si="107"/>
        <v>42970</v>
      </c>
      <c r="AR123" s="492">
        <f t="shared" si="107"/>
        <v>0</v>
      </c>
      <c r="AS123" s="609">
        <f>O123+AL123</f>
        <v>6</v>
      </c>
    </row>
    <row r="124" spans="1:45" ht="12.95" customHeight="1" x14ac:dyDescent="0.25">
      <c r="A124" s="205">
        <v>32</v>
      </c>
      <c r="B124" s="143">
        <v>2496</v>
      </c>
      <c r="C124" s="143">
        <v>600080251</v>
      </c>
      <c r="D124" s="206">
        <v>70695938</v>
      </c>
      <c r="E124" s="295" t="s">
        <v>497</v>
      </c>
      <c r="F124" s="143">
        <v>3117</v>
      </c>
      <c r="G124" s="248" t="s">
        <v>278</v>
      </c>
      <c r="H124" s="210" t="s">
        <v>263</v>
      </c>
      <c r="I124" s="580">
        <v>0</v>
      </c>
      <c r="J124" s="490">
        <v>0</v>
      </c>
      <c r="K124" s="490">
        <v>0</v>
      </c>
      <c r="L124" s="55">
        <v>0</v>
      </c>
      <c r="M124" s="55">
        <v>0</v>
      </c>
      <c r="N124" s="490">
        <v>0</v>
      </c>
      <c r="O124" s="719">
        <v>0</v>
      </c>
      <c r="P124" s="327">
        <f>W124*-1</f>
        <v>0</v>
      </c>
      <c r="Q124" s="573">
        <v>0</v>
      </c>
      <c r="R124" s="325">
        <v>0</v>
      </c>
      <c r="S124" s="325">
        <v>0</v>
      </c>
      <c r="T124" s="325">
        <v>0</v>
      </c>
      <c r="U124" s="325">
        <v>0</v>
      </c>
      <c r="V124" s="492">
        <f>P124+Q124+R124+S124+T124+U124</f>
        <v>0</v>
      </c>
      <c r="W124" s="325">
        <v>0</v>
      </c>
      <c r="X124" s="325">
        <v>0</v>
      </c>
      <c r="Y124" s="325">
        <v>0</v>
      </c>
      <c r="Z124" s="492">
        <f>W124+X124+Y124</f>
        <v>0</v>
      </c>
      <c r="AA124" s="492">
        <f>V124+Z124</f>
        <v>0</v>
      </c>
      <c r="AB124" s="494">
        <f>ROUND((V124+Z124)*33.8%,0)</f>
        <v>0</v>
      </c>
      <c r="AC124" s="494">
        <f>ROUND(V124*1%,0)</f>
        <v>0</v>
      </c>
      <c r="AD124" s="492">
        <v>0</v>
      </c>
      <c r="AE124" s="753">
        <f t="shared" si="106"/>
        <v>0</v>
      </c>
      <c r="AF124" s="813">
        <v>0</v>
      </c>
      <c r="AG124" s="729">
        <v>0</v>
      </c>
      <c r="AH124" s="728">
        <v>0</v>
      </c>
      <c r="AI124" s="728">
        <v>0</v>
      </c>
      <c r="AJ124" s="326">
        <v>0</v>
      </c>
      <c r="AK124" s="326">
        <v>0</v>
      </c>
      <c r="AL124" s="609">
        <f>SUM(AF124:AK124)</f>
        <v>0</v>
      </c>
      <c r="AM124" s="676">
        <f>I124+AE124</f>
        <v>0</v>
      </c>
      <c r="AN124" s="492">
        <f>J124+V124</f>
        <v>0</v>
      </c>
      <c r="AO124" s="573">
        <f>K124+Z124</f>
        <v>0</v>
      </c>
      <c r="AP124" s="492">
        <f t="shared" si="107"/>
        <v>0</v>
      </c>
      <c r="AQ124" s="492">
        <f t="shared" si="107"/>
        <v>0</v>
      </c>
      <c r="AR124" s="492">
        <f t="shared" si="107"/>
        <v>0</v>
      </c>
      <c r="AS124" s="609">
        <f>O124+AL124</f>
        <v>0</v>
      </c>
    </row>
    <row r="125" spans="1:45" ht="12.95" customHeight="1" x14ac:dyDescent="0.25">
      <c r="A125" s="205">
        <v>32</v>
      </c>
      <c r="B125" s="143">
        <v>2496</v>
      </c>
      <c r="C125" s="143">
        <v>600080251</v>
      </c>
      <c r="D125" s="206">
        <v>70695938</v>
      </c>
      <c r="E125" s="295" t="s">
        <v>497</v>
      </c>
      <c r="F125" s="143">
        <v>3143</v>
      </c>
      <c r="G125" s="248" t="s">
        <v>794</v>
      </c>
      <c r="H125" s="210" t="s">
        <v>262</v>
      </c>
      <c r="I125" s="580">
        <v>1373469</v>
      </c>
      <c r="J125" s="490">
        <v>1017107</v>
      </c>
      <c r="K125" s="490">
        <v>1800</v>
      </c>
      <c r="L125" s="55">
        <v>344391</v>
      </c>
      <c r="M125" s="55">
        <v>10171</v>
      </c>
      <c r="N125" s="490">
        <v>0</v>
      </c>
      <c r="O125" s="719">
        <v>1.8</v>
      </c>
      <c r="P125" s="327">
        <f>W125*-1</f>
        <v>-1200</v>
      </c>
      <c r="Q125" s="573">
        <v>0</v>
      </c>
      <c r="R125" s="325">
        <v>0</v>
      </c>
      <c r="S125" s="325">
        <v>0</v>
      </c>
      <c r="T125" s="325">
        <v>0</v>
      </c>
      <c r="U125" s="325">
        <v>0</v>
      </c>
      <c r="V125" s="492">
        <f>P125+Q125+R125+S125+T125+U125</f>
        <v>-1200</v>
      </c>
      <c r="W125" s="325">
        <v>1200</v>
      </c>
      <c r="X125" s="325">
        <v>0</v>
      </c>
      <c r="Y125" s="325">
        <v>0</v>
      </c>
      <c r="Z125" s="492">
        <f>W125+X125+Y125</f>
        <v>1200</v>
      </c>
      <c r="AA125" s="492">
        <f>V125+Z125</f>
        <v>0</v>
      </c>
      <c r="AB125" s="494">
        <f>ROUND((V125+Z125)*33.8%,0)</f>
        <v>0</v>
      </c>
      <c r="AC125" s="494">
        <f>ROUND(V125*1%,0)</f>
        <v>-12</v>
      </c>
      <c r="AD125" s="492">
        <v>0</v>
      </c>
      <c r="AE125" s="753">
        <f t="shared" si="106"/>
        <v>-12</v>
      </c>
      <c r="AF125" s="813">
        <v>0</v>
      </c>
      <c r="AG125" s="729">
        <v>0</v>
      </c>
      <c r="AH125" s="728">
        <v>0</v>
      </c>
      <c r="AI125" s="728">
        <v>0</v>
      </c>
      <c r="AJ125" s="326">
        <v>0</v>
      </c>
      <c r="AK125" s="326">
        <v>0</v>
      </c>
      <c r="AL125" s="609">
        <f>SUM(AF125:AK125)</f>
        <v>0</v>
      </c>
      <c r="AM125" s="676">
        <f>I125+AE125</f>
        <v>1373457</v>
      </c>
      <c r="AN125" s="492">
        <f>J125+V125</f>
        <v>1015907</v>
      </c>
      <c r="AO125" s="573">
        <f>K125+Z125</f>
        <v>3000</v>
      </c>
      <c r="AP125" s="492">
        <f t="shared" si="107"/>
        <v>344391</v>
      </c>
      <c r="AQ125" s="492">
        <f t="shared" si="107"/>
        <v>10159</v>
      </c>
      <c r="AR125" s="492">
        <f t="shared" si="107"/>
        <v>0</v>
      </c>
      <c r="AS125" s="609">
        <f>O125+AL125</f>
        <v>1.8</v>
      </c>
    </row>
    <row r="126" spans="1:45" ht="12.95" customHeight="1" x14ac:dyDescent="0.25">
      <c r="A126" s="144">
        <v>32</v>
      </c>
      <c r="B126" s="41">
        <v>2496</v>
      </c>
      <c r="C126" s="41">
        <v>600080251</v>
      </c>
      <c r="D126" s="41">
        <v>70695938</v>
      </c>
      <c r="E126" s="297" t="s">
        <v>498</v>
      </c>
      <c r="F126" s="41"/>
      <c r="G126" s="297"/>
      <c r="H126" s="128"/>
      <c r="I126" s="650">
        <v>7165795</v>
      </c>
      <c r="J126" s="568">
        <v>5314085</v>
      </c>
      <c r="K126" s="568">
        <v>1800</v>
      </c>
      <c r="L126" s="368">
        <v>1796769</v>
      </c>
      <c r="M126" s="368">
        <v>53141</v>
      </c>
      <c r="N126" s="568">
        <v>0</v>
      </c>
      <c r="O126" s="734">
        <v>7.8</v>
      </c>
      <c r="P126" s="655">
        <f t="shared" ref="P126:AS126" si="108">SUM(P123:P125)</f>
        <v>-1200</v>
      </c>
      <c r="Q126" s="467">
        <f t="shared" si="108"/>
        <v>0</v>
      </c>
      <c r="R126" s="368">
        <f t="shared" si="108"/>
        <v>0</v>
      </c>
      <c r="S126" s="368">
        <f t="shared" si="108"/>
        <v>0</v>
      </c>
      <c r="T126" s="368">
        <f t="shared" si="108"/>
        <v>0</v>
      </c>
      <c r="U126" s="368">
        <f t="shared" si="108"/>
        <v>0</v>
      </c>
      <c r="V126" s="368">
        <f t="shared" si="108"/>
        <v>-1200</v>
      </c>
      <c r="W126" s="368">
        <f t="shared" si="108"/>
        <v>1200</v>
      </c>
      <c r="X126" s="368">
        <f t="shared" si="108"/>
        <v>0</v>
      </c>
      <c r="Y126" s="368">
        <f t="shared" si="108"/>
        <v>0</v>
      </c>
      <c r="Z126" s="368">
        <f t="shared" si="108"/>
        <v>1200</v>
      </c>
      <c r="AA126" s="368">
        <f t="shared" si="108"/>
        <v>0</v>
      </c>
      <c r="AB126" s="368">
        <f t="shared" si="108"/>
        <v>0</v>
      </c>
      <c r="AC126" s="368">
        <f t="shared" si="108"/>
        <v>-12</v>
      </c>
      <c r="AD126" s="368">
        <f t="shared" si="108"/>
        <v>0</v>
      </c>
      <c r="AE126" s="809">
        <f t="shared" si="108"/>
        <v>-12</v>
      </c>
      <c r="AF126" s="816">
        <f t="shared" si="108"/>
        <v>0</v>
      </c>
      <c r="AG126" s="735">
        <f t="shared" si="108"/>
        <v>0</v>
      </c>
      <c r="AH126" s="735">
        <f t="shared" si="108"/>
        <v>0</v>
      </c>
      <c r="AI126" s="735">
        <f t="shared" si="108"/>
        <v>0</v>
      </c>
      <c r="AJ126" s="369">
        <f t="shared" si="108"/>
        <v>0</v>
      </c>
      <c r="AK126" s="369">
        <f t="shared" si="108"/>
        <v>0</v>
      </c>
      <c r="AL126" s="302">
        <f t="shared" si="108"/>
        <v>0</v>
      </c>
      <c r="AM126" s="655">
        <f t="shared" si="108"/>
        <v>7165783</v>
      </c>
      <c r="AN126" s="467">
        <f t="shared" si="108"/>
        <v>5312885</v>
      </c>
      <c r="AO126" s="368">
        <f t="shared" si="108"/>
        <v>3000</v>
      </c>
      <c r="AP126" s="368">
        <f t="shared" si="108"/>
        <v>1796769</v>
      </c>
      <c r="AQ126" s="368">
        <f t="shared" si="108"/>
        <v>53129</v>
      </c>
      <c r="AR126" s="368">
        <f t="shared" si="108"/>
        <v>0</v>
      </c>
      <c r="AS126" s="302">
        <f t="shared" si="108"/>
        <v>7.8</v>
      </c>
    </row>
    <row r="127" spans="1:45" ht="12.95" customHeight="1" x14ac:dyDescent="0.25">
      <c r="A127" s="205">
        <v>33</v>
      </c>
      <c r="B127" s="143">
        <v>5440</v>
      </c>
      <c r="C127" s="143">
        <v>600098559</v>
      </c>
      <c r="D127" s="206">
        <v>70998108</v>
      </c>
      <c r="E127" s="295" t="s">
        <v>499</v>
      </c>
      <c r="F127" s="143">
        <v>3111</v>
      </c>
      <c r="G127" s="296" t="s">
        <v>290</v>
      </c>
      <c r="H127" s="210" t="s">
        <v>262</v>
      </c>
      <c r="I127" s="580">
        <v>4433384</v>
      </c>
      <c r="J127" s="490">
        <v>3288860</v>
      </c>
      <c r="K127" s="490">
        <v>0</v>
      </c>
      <c r="L127" s="55">
        <v>1111635</v>
      </c>
      <c r="M127" s="55">
        <v>32889</v>
      </c>
      <c r="N127" s="490">
        <v>0</v>
      </c>
      <c r="O127" s="719">
        <v>6</v>
      </c>
      <c r="P127" s="552">
        <f>W127*-1</f>
        <v>0</v>
      </c>
      <c r="Q127" s="573">
        <v>0</v>
      </c>
      <c r="R127" s="325">
        <v>0</v>
      </c>
      <c r="S127" s="325">
        <v>0</v>
      </c>
      <c r="T127" s="325">
        <v>0</v>
      </c>
      <c r="U127" s="325">
        <v>0</v>
      </c>
      <c r="V127" s="492">
        <f>P127+Q127+R127+S127+T127+U127</f>
        <v>0</v>
      </c>
      <c r="W127" s="325">
        <v>0</v>
      </c>
      <c r="X127" s="325">
        <v>0</v>
      </c>
      <c r="Y127" s="325">
        <v>0</v>
      </c>
      <c r="Z127" s="492">
        <f>W127+X127+Y127</f>
        <v>0</v>
      </c>
      <c r="AA127" s="492">
        <f>V127+Z127</f>
        <v>0</v>
      </c>
      <c r="AB127" s="494">
        <f>ROUND((V127+Z127)*33.8%,0)</f>
        <v>0</v>
      </c>
      <c r="AC127" s="494">
        <f>ROUND(V127*1%,0)</f>
        <v>0</v>
      </c>
      <c r="AD127" s="492">
        <v>0</v>
      </c>
      <c r="AE127" s="753">
        <f t="shared" ref="AE127:AE128" si="109">AA127+AB127+AC127+AD127</f>
        <v>0</v>
      </c>
      <c r="AF127" s="813">
        <v>0</v>
      </c>
      <c r="AG127" s="729">
        <v>0</v>
      </c>
      <c r="AH127" s="728">
        <v>0</v>
      </c>
      <c r="AI127" s="728">
        <v>0</v>
      </c>
      <c r="AJ127" s="326">
        <v>0</v>
      </c>
      <c r="AK127" s="326">
        <v>0</v>
      </c>
      <c r="AL127" s="609">
        <f>SUM(AF127:AK127)</f>
        <v>0</v>
      </c>
      <c r="AM127" s="676">
        <f>I127+AE127</f>
        <v>4433384</v>
      </c>
      <c r="AN127" s="492">
        <f>J127+V127</f>
        <v>3288860</v>
      </c>
      <c r="AO127" s="573">
        <f>K127+Z127</f>
        <v>0</v>
      </c>
      <c r="AP127" s="492">
        <f t="shared" ref="AP127:AR128" si="110">L127+AB127</f>
        <v>1111635</v>
      </c>
      <c r="AQ127" s="492">
        <f t="shared" si="110"/>
        <v>32889</v>
      </c>
      <c r="AR127" s="492">
        <f t="shared" si="110"/>
        <v>0</v>
      </c>
      <c r="AS127" s="609">
        <f>O127+AL127</f>
        <v>6</v>
      </c>
    </row>
    <row r="128" spans="1:45" ht="12.95" customHeight="1" x14ac:dyDescent="0.25">
      <c r="A128" s="205">
        <v>33</v>
      </c>
      <c r="B128" s="143">
        <v>5440</v>
      </c>
      <c r="C128" s="143">
        <v>600098559</v>
      </c>
      <c r="D128" s="206">
        <v>70998108</v>
      </c>
      <c r="E128" s="295" t="s">
        <v>499</v>
      </c>
      <c r="F128" s="143">
        <v>3111</v>
      </c>
      <c r="G128" s="296" t="s">
        <v>278</v>
      </c>
      <c r="H128" s="210" t="s">
        <v>263</v>
      </c>
      <c r="I128" s="580">
        <v>0</v>
      </c>
      <c r="J128" s="490">
        <v>0</v>
      </c>
      <c r="K128" s="490">
        <v>0</v>
      </c>
      <c r="L128" s="55">
        <v>0</v>
      </c>
      <c r="M128" s="55">
        <v>0</v>
      </c>
      <c r="N128" s="490">
        <v>0</v>
      </c>
      <c r="O128" s="719">
        <v>0</v>
      </c>
      <c r="P128" s="327">
        <f>W128*-1</f>
        <v>0</v>
      </c>
      <c r="Q128" s="573">
        <v>0</v>
      </c>
      <c r="R128" s="325">
        <v>0</v>
      </c>
      <c r="S128" s="325">
        <v>0</v>
      </c>
      <c r="T128" s="325">
        <v>0</v>
      </c>
      <c r="U128" s="325">
        <v>0</v>
      </c>
      <c r="V128" s="492">
        <f>P128+Q128+R128+S128+T128+U128</f>
        <v>0</v>
      </c>
      <c r="W128" s="325">
        <v>0</v>
      </c>
      <c r="X128" s="325">
        <v>0</v>
      </c>
      <c r="Y128" s="325">
        <v>0</v>
      </c>
      <c r="Z128" s="492">
        <f>W128+X128+Y128</f>
        <v>0</v>
      </c>
      <c r="AA128" s="492">
        <f>V128+Z128</f>
        <v>0</v>
      </c>
      <c r="AB128" s="494">
        <f>ROUND((V128+Z128)*33.8%,0)</f>
        <v>0</v>
      </c>
      <c r="AC128" s="494">
        <f>ROUND(V128*1%,0)</f>
        <v>0</v>
      </c>
      <c r="AD128" s="492">
        <v>0</v>
      </c>
      <c r="AE128" s="753">
        <f t="shared" si="109"/>
        <v>0</v>
      </c>
      <c r="AF128" s="813">
        <v>0</v>
      </c>
      <c r="AG128" s="729">
        <v>0</v>
      </c>
      <c r="AH128" s="728">
        <v>0</v>
      </c>
      <c r="AI128" s="728">
        <v>0</v>
      </c>
      <c r="AJ128" s="326">
        <v>0</v>
      </c>
      <c r="AK128" s="326">
        <v>0</v>
      </c>
      <c r="AL128" s="609">
        <f>SUM(AF128:AK128)</f>
        <v>0</v>
      </c>
      <c r="AM128" s="676">
        <f>I128+AE128</f>
        <v>0</v>
      </c>
      <c r="AN128" s="492">
        <f>J128+V128</f>
        <v>0</v>
      </c>
      <c r="AO128" s="573">
        <f>K128+Z128</f>
        <v>0</v>
      </c>
      <c r="AP128" s="492">
        <f t="shared" si="110"/>
        <v>0</v>
      </c>
      <c r="AQ128" s="492">
        <f t="shared" si="110"/>
        <v>0</v>
      </c>
      <c r="AR128" s="492">
        <f t="shared" si="110"/>
        <v>0</v>
      </c>
      <c r="AS128" s="609">
        <f>O128+AL128</f>
        <v>0</v>
      </c>
    </row>
    <row r="129" spans="1:45" ht="12.95" customHeight="1" x14ac:dyDescent="0.25">
      <c r="A129" s="144">
        <v>33</v>
      </c>
      <c r="B129" s="42">
        <v>5440</v>
      </c>
      <c r="C129" s="42">
        <v>600098559</v>
      </c>
      <c r="D129" s="42">
        <v>70998108</v>
      </c>
      <c r="E129" s="297" t="s">
        <v>500</v>
      </c>
      <c r="F129" s="41"/>
      <c r="G129" s="297"/>
      <c r="H129" s="128"/>
      <c r="I129" s="648">
        <v>4433384</v>
      </c>
      <c r="J129" s="566">
        <v>3288860</v>
      </c>
      <c r="K129" s="566">
        <v>0</v>
      </c>
      <c r="L129" s="366">
        <v>1111635</v>
      </c>
      <c r="M129" s="366">
        <v>32889</v>
      </c>
      <c r="N129" s="566">
        <v>0</v>
      </c>
      <c r="O129" s="730">
        <v>6</v>
      </c>
      <c r="P129" s="653">
        <f t="shared" ref="P129:AS129" si="111">SUM(P127:P128)</f>
        <v>0</v>
      </c>
      <c r="Q129" s="465">
        <f t="shared" si="111"/>
        <v>0</v>
      </c>
      <c r="R129" s="366">
        <f t="shared" si="111"/>
        <v>0</v>
      </c>
      <c r="S129" s="366">
        <f t="shared" si="111"/>
        <v>0</v>
      </c>
      <c r="T129" s="366">
        <f t="shared" si="111"/>
        <v>0</v>
      </c>
      <c r="U129" s="366">
        <f t="shared" si="111"/>
        <v>0</v>
      </c>
      <c r="V129" s="366">
        <f t="shared" si="111"/>
        <v>0</v>
      </c>
      <c r="W129" s="366">
        <f t="shared" si="111"/>
        <v>0</v>
      </c>
      <c r="X129" s="366">
        <f t="shared" si="111"/>
        <v>0</v>
      </c>
      <c r="Y129" s="366">
        <f t="shared" si="111"/>
        <v>0</v>
      </c>
      <c r="Z129" s="366">
        <f t="shared" si="111"/>
        <v>0</v>
      </c>
      <c r="AA129" s="366">
        <f t="shared" si="111"/>
        <v>0</v>
      </c>
      <c r="AB129" s="366">
        <f t="shared" si="111"/>
        <v>0</v>
      </c>
      <c r="AC129" s="366">
        <f t="shared" si="111"/>
        <v>0</v>
      </c>
      <c r="AD129" s="366">
        <f t="shared" si="111"/>
        <v>0</v>
      </c>
      <c r="AE129" s="807">
        <f t="shared" si="111"/>
        <v>0</v>
      </c>
      <c r="AF129" s="814">
        <f t="shared" si="111"/>
        <v>0</v>
      </c>
      <c r="AG129" s="731">
        <f t="shared" si="111"/>
        <v>0</v>
      </c>
      <c r="AH129" s="731">
        <f t="shared" si="111"/>
        <v>0</v>
      </c>
      <c r="AI129" s="731">
        <f t="shared" si="111"/>
        <v>0</v>
      </c>
      <c r="AJ129" s="367">
        <f t="shared" si="111"/>
        <v>0</v>
      </c>
      <c r="AK129" s="367">
        <f t="shared" si="111"/>
        <v>0</v>
      </c>
      <c r="AL129" s="298">
        <f t="shared" si="111"/>
        <v>0</v>
      </c>
      <c r="AM129" s="653">
        <f t="shared" si="111"/>
        <v>4433384</v>
      </c>
      <c r="AN129" s="465">
        <f t="shared" si="111"/>
        <v>3288860</v>
      </c>
      <c r="AO129" s="366">
        <f t="shared" si="111"/>
        <v>0</v>
      </c>
      <c r="AP129" s="366">
        <f t="shared" si="111"/>
        <v>1111635</v>
      </c>
      <c r="AQ129" s="366">
        <f t="shared" si="111"/>
        <v>32889</v>
      </c>
      <c r="AR129" s="366">
        <f t="shared" si="111"/>
        <v>0</v>
      </c>
      <c r="AS129" s="298">
        <f t="shared" si="111"/>
        <v>6</v>
      </c>
    </row>
    <row r="130" spans="1:45" ht="12.95" customHeight="1" x14ac:dyDescent="0.25">
      <c r="A130" s="205">
        <v>34</v>
      </c>
      <c r="B130" s="143">
        <v>5441</v>
      </c>
      <c r="C130" s="143">
        <v>600099270</v>
      </c>
      <c r="D130" s="206">
        <v>856118</v>
      </c>
      <c r="E130" s="295" t="s">
        <v>501</v>
      </c>
      <c r="F130" s="143">
        <v>3113</v>
      </c>
      <c r="G130" s="295" t="s">
        <v>294</v>
      </c>
      <c r="H130" s="210" t="s">
        <v>262</v>
      </c>
      <c r="I130" s="580">
        <v>12889499</v>
      </c>
      <c r="J130" s="490">
        <v>9516681</v>
      </c>
      <c r="K130" s="490">
        <v>45600</v>
      </c>
      <c r="L130" s="55">
        <v>3232051</v>
      </c>
      <c r="M130" s="55">
        <v>95167</v>
      </c>
      <c r="N130" s="490">
        <v>0</v>
      </c>
      <c r="O130" s="719">
        <v>13.297700000000001</v>
      </c>
      <c r="P130" s="552">
        <f>W130*-1</f>
        <v>-30400</v>
      </c>
      <c r="Q130" s="573">
        <v>0</v>
      </c>
      <c r="R130" s="325">
        <v>0</v>
      </c>
      <c r="S130" s="325">
        <v>0</v>
      </c>
      <c r="T130" s="325">
        <v>0</v>
      </c>
      <c r="U130" s="325">
        <v>0</v>
      </c>
      <c r="V130" s="492">
        <f>P130+Q130+R130+S130+T130+U130</f>
        <v>-30400</v>
      </c>
      <c r="W130" s="325">
        <v>30400</v>
      </c>
      <c r="X130" s="325">
        <v>0</v>
      </c>
      <c r="Y130" s="325">
        <v>0</v>
      </c>
      <c r="Z130" s="492">
        <f>W130+X130+Y130</f>
        <v>30400</v>
      </c>
      <c r="AA130" s="492">
        <f>V130+Z130</f>
        <v>0</v>
      </c>
      <c r="AB130" s="494">
        <f>ROUND((V130+Z130)*33.8%,0)</f>
        <v>0</v>
      </c>
      <c r="AC130" s="494">
        <f>ROUND(V130*1%,0)</f>
        <v>-304</v>
      </c>
      <c r="AD130" s="492">
        <v>0</v>
      </c>
      <c r="AE130" s="753">
        <f t="shared" ref="AE130:AE132" si="112">AA130+AB130+AC130+AD130</f>
        <v>-304</v>
      </c>
      <c r="AF130" s="813">
        <v>-4.0000000000000008E-2</v>
      </c>
      <c r="AG130" s="729">
        <v>0</v>
      </c>
      <c r="AH130" s="728">
        <v>0</v>
      </c>
      <c r="AI130" s="728">
        <v>0</v>
      </c>
      <c r="AJ130" s="326">
        <v>0</v>
      </c>
      <c r="AK130" s="326">
        <v>0</v>
      </c>
      <c r="AL130" s="609">
        <f>SUM(AF130:AK130)</f>
        <v>-4.0000000000000008E-2</v>
      </c>
      <c r="AM130" s="676">
        <f>I130+AE130</f>
        <v>12889195</v>
      </c>
      <c r="AN130" s="492">
        <f>J130+V130</f>
        <v>9486281</v>
      </c>
      <c r="AO130" s="573">
        <f>K130+Z130</f>
        <v>76000</v>
      </c>
      <c r="AP130" s="492">
        <f t="shared" ref="AP130:AR132" si="113">L130+AB130</f>
        <v>3232051</v>
      </c>
      <c r="AQ130" s="492">
        <f t="shared" si="113"/>
        <v>94863</v>
      </c>
      <c r="AR130" s="492">
        <f t="shared" si="113"/>
        <v>0</v>
      </c>
      <c r="AS130" s="609">
        <f>O130+AL130</f>
        <v>13.257700000000002</v>
      </c>
    </row>
    <row r="131" spans="1:45" ht="12.95" customHeight="1" x14ac:dyDescent="0.25">
      <c r="A131" s="205">
        <v>34</v>
      </c>
      <c r="B131" s="143">
        <v>5441</v>
      </c>
      <c r="C131" s="143">
        <v>600099270</v>
      </c>
      <c r="D131" s="206">
        <v>856118</v>
      </c>
      <c r="E131" s="295" t="s">
        <v>501</v>
      </c>
      <c r="F131" s="143">
        <v>3113</v>
      </c>
      <c r="G131" s="248" t="s">
        <v>278</v>
      </c>
      <c r="H131" s="210" t="s">
        <v>263</v>
      </c>
      <c r="I131" s="580">
        <v>2208148</v>
      </c>
      <c r="J131" s="490">
        <v>1638092</v>
      </c>
      <c r="K131" s="490">
        <v>0</v>
      </c>
      <c r="L131" s="55">
        <v>553675</v>
      </c>
      <c r="M131" s="55">
        <v>16381</v>
      </c>
      <c r="N131" s="490">
        <v>0</v>
      </c>
      <c r="O131" s="719">
        <v>3.92</v>
      </c>
      <c r="P131" s="327">
        <f>W131*-1</f>
        <v>0</v>
      </c>
      <c r="Q131" s="573">
        <v>120344</v>
      </c>
      <c r="R131" s="325">
        <v>0</v>
      </c>
      <c r="S131" s="325">
        <v>0</v>
      </c>
      <c r="T131" s="325">
        <v>0</v>
      </c>
      <c r="U131" s="325">
        <v>0</v>
      </c>
      <c r="V131" s="492">
        <f>P131+Q131+R131+S131+T131+U131</f>
        <v>120344</v>
      </c>
      <c r="W131" s="325">
        <v>0</v>
      </c>
      <c r="X131" s="325">
        <v>0</v>
      </c>
      <c r="Y131" s="325">
        <v>0</v>
      </c>
      <c r="Z131" s="492">
        <f>W131+X131+Y131</f>
        <v>0</v>
      </c>
      <c r="AA131" s="492">
        <f>V131+Z131</f>
        <v>120344</v>
      </c>
      <c r="AB131" s="494">
        <f>ROUND((V131+Z131)*33.8%,0)</f>
        <v>40676</v>
      </c>
      <c r="AC131" s="494">
        <f>ROUND(V131*1%,0)</f>
        <v>1203</v>
      </c>
      <c r="AD131" s="492">
        <v>0</v>
      </c>
      <c r="AE131" s="753">
        <f t="shared" si="112"/>
        <v>162223</v>
      </c>
      <c r="AF131" s="813">
        <v>0</v>
      </c>
      <c r="AG131" s="729">
        <v>0.3</v>
      </c>
      <c r="AH131" s="728">
        <v>0</v>
      </c>
      <c r="AI131" s="728">
        <v>0</v>
      </c>
      <c r="AJ131" s="326">
        <v>0</v>
      </c>
      <c r="AK131" s="326">
        <v>0</v>
      </c>
      <c r="AL131" s="609">
        <f>SUM(AF131:AK131)</f>
        <v>0.3</v>
      </c>
      <c r="AM131" s="676">
        <f>I131+AE131</f>
        <v>2370371</v>
      </c>
      <c r="AN131" s="492">
        <f>J131+V131</f>
        <v>1758436</v>
      </c>
      <c r="AO131" s="573">
        <f>K131+Z131</f>
        <v>0</v>
      </c>
      <c r="AP131" s="492">
        <f t="shared" si="113"/>
        <v>594351</v>
      </c>
      <c r="AQ131" s="492">
        <f t="shared" si="113"/>
        <v>17584</v>
      </c>
      <c r="AR131" s="492">
        <f t="shared" si="113"/>
        <v>0</v>
      </c>
      <c r="AS131" s="609">
        <f>O131+AL131</f>
        <v>4.22</v>
      </c>
    </row>
    <row r="132" spans="1:45" ht="12.95" customHeight="1" x14ac:dyDescent="0.25">
      <c r="A132" s="205">
        <v>34</v>
      </c>
      <c r="B132" s="143">
        <v>5441</v>
      </c>
      <c r="C132" s="143">
        <v>600099270</v>
      </c>
      <c r="D132" s="206">
        <v>856118</v>
      </c>
      <c r="E132" s="295" t="s">
        <v>501</v>
      </c>
      <c r="F132" s="143">
        <v>3143</v>
      </c>
      <c r="G132" s="248" t="s">
        <v>794</v>
      </c>
      <c r="H132" s="210" t="s">
        <v>262</v>
      </c>
      <c r="I132" s="580">
        <v>1386045</v>
      </c>
      <c r="J132" s="490">
        <v>1026080</v>
      </c>
      <c r="K132" s="490">
        <v>2160</v>
      </c>
      <c r="L132" s="55">
        <v>347545</v>
      </c>
      <c r="M132" s="55">
        <v>10260</v>
      </c>
      <c r="N132" s="490">
        <v>0</v>
      </c>
      <c r="O132" s="719">
        <v>1.9</v>
      </c>
      <c r="P132" s="327">
        <f>W132*-1</f>
        <v>-1440</v>
      </c>
      <c r="Q132" s="573">
        <v>0</v>
      </c>
      <c r="R132" s="325">
        <v>0</v>
      </c>
      <c r="S132" s="325">
        <v>0</v>
      </c>
      <c r="T132" s="325">
        <v>0</v>
      </c>
      <c r="U132" s="325">
        <v>0</v>
      </c>
      <c r="V132" s="492">
        <f>P132+Q132+R132+S132+T132+U132</f>
        <v>-1440</v>
      </c>
      <c r="W132" s="325">
        <v>1440</v>
      </c>
      <c r="X132" s="325">
        <v>0</v>
      </c>
      <c r="Y132" s="325">
        <v>0</v>
      </c>
      <c r="Z132" s="492">
        <f>W132+X132+Y132</f>
        <v>1440</v>
      </c>
      <c r="AA132" s="492">
        <f>V132+Z132</f>
        <v>0</v>
      </c>
      <c r="AB132" s="494">
        <f>ROUND((V132+Z132)*33.8%,0)</f>
        <v>0</v>
      </c>
      <c r="AC132" s="494">
        <f>ROUND(V132*1%,0)</f>
        <v>-14</v>
      </c>
      <c r="AD132" s="492">
        <v>0</v>
      </c>
      <c r="AE132" s="753">
        <f t="shared" si="112"/>
        <v>-14</v>
      </c>
      <c r="AF132" s="813">
        <v>0</v>
      </c>
      <c r="AG132" s="729">
        <v>0</v>
      </c>
      <c r="AH132" s="728">
        <v>0</v>
      </c>
      <c r="AI132" s="728">
        <v>0</v>
      </c>
      <c r="AJ132" s="326">
        <v>0</v>
      </c>
      <c r="AK132" s="326">
        <v>0</v>
      </c>
      <c r="AL132" s="609">
        <f>SUM(AF132:AK132)</f>
        <v>0</v>
      </c>
      <c r="AM132" s="676">
        <f>I132+AE132</f>
        <v>1386031</v>
      </c>
      <c r="AN132" s="492">
        <f>J132+V132</f>
        <v>1024640</v>
      </c>
      <c r="AO132" s="573">
        <f>K132+Z132</f>
        <v>3600</v>
      </c>
      <c r="AP132" s="492">
        <f t="shared" si="113"/>
        <v>347545</v>
      </c>
      <c r="AQ132" s="492">
        <f t="shared" si="113"/>
        <v>10246</v>
      </c>
      <c r="AR132" s="492">
        <f t="shared" si="113"/>
        <v>0</v>
      </c>
      <c r="AS132" s="609">
        <f>O132+AL132</f>
        <v>1.9</v>
      </c>
    </row>
    <row r="133" spans="1:45" ht="12.95" customHeight="1" x14ac:dyDescent="0.25">
      <c r="A133" s="144">
        <v>34</v>
      </c>
      <c r="B133" s="41">
        <v>5441</v>
      </c>
      <c r="C133" s="41">
        <v>600099270</v>
      </c>
      <c r="D133" s="41">
        <v>856118</v>
      </c>
      <c r="E133" s="297" t="s">
        <v>502</v>
      </c>
      <c r="F133" s="41"/>
      <c r="G133" s="297"/>
      <c r="H133" s="128"/>
      <c r="I133" s="650">
        <v>16483692</v>
      </c>
      <c r="J133" s="568">
        <v>12180853</v>
      </c>
      <c r="K133" s="568">
        <v>47760</v>
      </c>
      <c r="L133" s="368">
        <v>4133271</v>
      </c>
      <c r="M133" s="368">
        <v>121808</v>
      </c>
      <c r="N133" s="568">
        <v>0</v>
      </c>
      <c r="O133" s="734">
        <v>19.117699999999999</v>
      </c>
      <c r="P133" s="655">
        <f t="shared" ref="P133:AS133" si="114">SUM(P130:P132)</f>
        <v>-31840</v>
      </c>
      <c r="Q133" s="467">
        <f t="shared" si="114"/>
        <v>120344</v>
      </c>
      <c r="R133" s="368">
        <f t="shared" si="114"/>
        <v>0</v>
      </c>
      <c r="S133" s="368">
        <f t="shared" si="114"/>
        <v>0</v>
      </c>
      <c r="T133" s="368">
        <f t="shared" si="114"/>
        <v>0</v>
      </c>
      <c r="U133" s="368">
        <f t="shared" si="114"/>
        <v>0</v>
      </c>
      <c r="V133" s="368">
        <f t="shared" si="114"/>
        <v>88504</v>
      </c>
      <c r="W133" s="368">
        <f t="shared" si="114"/>
        <v>31840</v>
      </c>
      <c r="X133" s="368">
        <f t="shared" si="114"/>
        <v>0</v>
      </c>
      <c r="Y133" s="368">
        <f t="shared" si="114"/>
        <v>0</v>
      </c>
      <c r="Z133" s="368">
        <f t="shared" si="114"/>
        <v>31840</v>
      </c>
      <c r="AA133" s="368">
        <f t="shared" si="114"/>
        <v>120344</v>
      </c>
      <c r="AB133" s="368">
        <f t="shared" si="114"/>
        <v>40676</v>
      </c>
      <c r="AC133" s="368">
        <f t="shared" si="114"/>
        <v>885</v>
      </c>
      <c r="AD133" s="368">
        <f t="shared" si="114"/>
        <v>0</v>
      </c>
      <c r="AE133" s="809">
        <f t="shared" si="114"/>
        <v>161905</v>
      </c>
      <c r="AF133" s="816">
        <f t="shared" si="114"/>
        <v>-4.0000000000000008E-2</v>
      </c>
      <c r="AG133" s="735">
        <f t="shared" si="114"/>
        <v>0.3</v>
      </c>
      <c r="AH133" s="735">
        <f t="shared" si="114"/>
        <v>0</v>
      </c>
      <c r="AI133" s="735">
        <f t="shared" si="114"/>
        <v>0</v>
      </c>
      <c r="AJ133" s="369">
        <f t="shared" si="114"/>
        <v>0</v>
      </c>
      <c r="AK133" s="369">
        <f t="shared" si="114"/>
        <v>0</v>
      </c>
      <c r="AL133" s="302">
        <f t="shared" si="114"/>
        <v>0.26</v>
      </c>
      <c r="AM133" s="655">
        <f t="shared" si="114"/>
        <v>16645597</v>
      </c>
      <c r="AN133" s="467">
        <f t="shared" si="114"/>
        <v>12269357</v>
      </c>
      <c r="AO133" s="368">
        <f t="shared" si="114"/>
        <v>79600</v>
      </c>
      <c r="AP133" s="368">
        <f t="shared" si="114"/>
        <v>4173947</v>
      </c>
      <c r="AQ133" s="368">
        <f t="shared" si="114"/>
        <v>122693</v>
      </c>
      <c r="AR133" s="368">
        <f t="shared" si="114"/>
        <v>0</v>
      </c>
      <c r="AS133" s="302">
        <f t="shared" si="114"/>
        <v>19.377700000000001</v>
      </c>
    </row>
    <row r="134" spans="1:45" ht="12.95" customHeight="1" x14ac:dyDescent="0.25">
      <c r="A134" s="205">
        <v>35</v>
      </c>
      <c r="B134" s="299">
        <v>2306</v>
      </c>
      <c r="C134" s="299">
        <v>650025873</v>
      </c>
      <c r="D134" s="206">
        <v>70695946</v>
      </c>
      <c r="E134" s="295" t="s">
        <v>503</v>
      </c>
      <c r="F134" s="143">
        <v>3111</v>
      </c>
      <c r="G134" s="296" t="s">
        <v>290</v>
      </c>
      <c r="H134" s="210" t="s">
        <v>262</v>
      </c>
      <c r="I134" s="580">
        <v>2992926</v>
      </c>
      <c r="J134" s="490">
        <v>2220271</v>
      </c>
      <c r="K134" s="490">
        <v>0</v>
      </c>
      <c r="L134" s="55">
        <v>750452</v>
      </c>
      <c r="M134" s="55">
        <v>22203</v>
      </c>
      <c r="N134" s="490">
        <v>0</v>
      </c>
      <c r="O134" s="719">
        <v>3.7258</v>
      </c>
      <c r="P134" s="552">
        <f t="shared" ref="P134:P137" si="115">W134*-1</f>
        <v>0</v>
      </c>
      <c r="Q134" s="573">
        <v>0</v>
      </c>
      <c r="R134" s="325">
        <v>0</v>
      </c>
      <c r="S134" s="325">
        <v>0</v>
      </c>
      <c r="T134" s="325">
        <v>0</v>
      </c>
      <c r="U134" s="325">
        <v>0</v>
      </c>
      <c r="V134" s="492">
        <f>P134+Q134+R134+S134+T134+U134</f>
        <v>0</v>
      </c>
      <c r="W134" s="325">
        <v>0</v>
      </c>
      <c r="X134" s="325">
        <v>0</v>
      </c>
      <c r="Y134" s="325">
        <v>0</v>
      </c>
      <c r="Z134" s="492">
        <f>W134+X134+Y134</f>
        <v>0</v>
      </c>
      <c r="AA134" s="492">
        <f>V134+Z134</f>
        <v>0</v>
      </c>
      <c r="AB134" s="494">
        <f>ROUND((V134+Z134)*33.8%,0)</f>
        <v>0</v>
      </c>
      <c r="AC134" s="494">
        <f>ROUND(V134*1%,0)</f>
        <v>0</v>
      </c>
      <c r="AD134" s="492">
        <v>0</v>
      </c>
      <c r="AE134" s="753">
        <f t="shared" ref="AE134:AE137" si="116">AA134+AB134+AC134+AD134</f>
        <v>0</v>
      </c>
      <c r="AF134" s="813">
        <v>0</v>
      </c>
      <c r="AG134" s="729">
        <v>0</v>
      </c>
      <c r="AH134" s="728">
        <v>0</v>
      </c>
      <c r="AI134" s="728">
        <v>0</v>
      </c>
      <c r="AJ134" s="326">
        <v>0</v>
      </c>
      <c r="AK134" s="326">
        <v>0</v>
      </c>
      <c r="AL134" s="609">
        <f>SUM(AF134:AK134)</f>
        <v>0</v>
      </c>
      <c r="AM134" s="676">
        <f>I134+AE134</f>
        <v>2992926</v>
      </c>
      <c r="AN134" s="492">
        <f>J134+V134</f>
        <v>2220271</v>
      </c>
      <c r="AO134" s="573">
        <f>K134+Z134</f>
        <v>0</v>
      </c>
      <c r="AP134" s="492">
        <f t="shared" ref="AP134:AR137" si="117">L134+AB134</f>
        <v>750452</v>
      </c>
      <c r="AQ134" s="492">
        <f t="shared" si="117"/>
        <v>22203</v>
      </c>
      <c r="AR134" s="492">
        <f t="shared" si="117"/>
        <v>0</v>
      </c>
      <c r="AS134" s="609">
        <f>O134+AL134</f>
        <v>3.7258</v>
      </c>
    </row>
    <row r="135" spans="1:45" ht="12.95" customHeight="1" x14ac:dyDescent="0.25">
      <c r="A135" s="205">
        <v>35</v>
      </c>
      <c r="B135" s="299">
        <v>2306</v>
      </c>
      <c r="C135" s="299">
        <v>650025873</v>
      </c>
      <c r="D135" s="206">
        <v>70695946</v>
      </c>
      <c r="E135" s="142" t="s">
        <v>503</v>
      </c>
      <c r="F135" s="299">
        <v>3117</v>
      </c>
      <c r="G135" s="295" t="s">
        <v>294</v>
      </c>
      <c r="H135" s="210" t="s">
        <v>262</v>
      </c>
      <c r="I135" s="580">
        <v>2528359</v>
      </c>
      <c r="J135" s="490">
        <v>1875638</v>
      </c>
      <c r="K135" s="490">
        <v>0</v>
      </c>
      <c r="L135" s="55">
        <v>633965</v>
      </c>
      <c r="M135" s="55">
        <v>18756</v>
      </c>
      <c r="N135" s="490">
        <v>0</v>
      </c>
      <c r="O135" s="719">
        <v>2.9091</v>
      </c>
      <c r="P135" s="327">
        <f t="shared" si="115"/>
        <v>0</v>
      </c>
      <c r="Q135" s="573">
        <v>0</v>
      </c>
      <c r="R135" s="325">
        <v>0</v>
      </c>
      <c r="S135" s="325">
        <v>0</v>
      </c>
      <c r="T135" s="325">
        <v>0</v>
      </c>
      <c r="U135" s="325">
        <v>0</v>
      </c>
      <c r="V135" s="492">
        <f>P135+Q135+R135+S135+T135+U135</f>
        <v>0</v>
      </c>
      <c r="W135" s="325">
        <v>0</v>
      </c>
      <c r="X135" s="325">
        <v>0</v>
      </c>
      <c r="Y135" s="325">
        <v>0</v>
      </c>
      <c r="Z135" s="492">
        <f>W135+X135+Y135</f>
        <v>0</v>
      </c>
      <c r="AA135" s="492">
        <f>V135+Z135</f>
        <v>0</v>
      </c>
      <c r="AB135" s="494">
        <f>ROUND((V135+Z135)*33.8%,0)</f>
        <v>0</v>
      </c>
      <c r="AC135" s="494">
        <f>ROUND(V135*1%,0)</f>
        <v>0</v>
      </c>
      <c r="AD135" s="492">
        <v>0</v>
      </c>
      <c r="AE135" s="753">
        <f t="shared" si="116"/>
        <v>0</v>
      </c>
      <c r="AF135" s="813">
        <v>0</v>
      </c>
      <c r="AG135" s="729">
        <v>0</v>
      </c>
      <c r="AH135" s="728">
        <v>0</v>
      </c>
      <c r="AI135" s="728">
        <v>0</v>
      </c>
      <c r="AJ135" s="326">
        <v>0</v>
      </c>
      <c r="AK135" s="326">
        <v>0</v>
      </c>
      <c r="AL135" s="609">
        <f>SUM(AF135:AK135)</f>
        <v>0</v>
      </c>
      <c r="AM135" s="676">
        <f>I135+AE135</f>
        <v>2528359</v>
      </c>
      <c r="AN135" s="492">
        <f>J135+V135</f>
        <v>1875638</v>
      </c>
      <c r="AO135" s="573">
        <f>K135+Z135</f>
        <v>0</v>
      </c>
      <c r="AP135" s="492">
        <f t="shared" si="117"/>
        <v>633965</v>
      </c>
      <c r="AQ135" s="492">
        <f t="shared" si="117"/>
        <v>18756</v>
      </c>
      <c r="AR135" s="492">
        <f t="shared" si="117"/>
        <v>0</v>
      </c>
      <c r="AS135" s="609">
        <f>O135+AL135</f>
        <v>2.9091</v>
      </c>
    </row>
    <row r="136" spans="1:45" ht="12.95" customHeight="1" x14ac:dyDescent="0.25">
      <c r="A136" s="205">
        <v>35</v>
      </c>
      <c r="B136" s="143">
        <v>2306</v>
      </c>
      <c r="C136" s="143">
        <v>650025873</v>
      </c>
      <c r="D136" s="206">
        <v>70695946</v>
      </c>
      <c r="E136" s="142" t="s">
        <v>503</v>
      </c>
      <c r="F136" s="299">
        <v>3117</v>
      </c>
      <c r="G136" s="248" t="s">
        <v>278</v>
      </c>
      <c r="H136" s="210" t="s">
        <v>263</v>
      </c>
      <c r="I136" s="580">
        <v>254864</v>
      </c>
      <c r="J136" s="490">
        <v>189068</v>
      </c>
      <c r="K136" s="490">
        <v>0</v>
      </c>
      <c r="L136" s="55">
        <v>63905</v>
      </c>
      <c r="M136" s="55">
        <v>1891</v>
      </c>
      <c r="N136" s="490">
        <v>0</v>
      </c>
      <c r="O136" s="719">
        <v>0.64</v>
      </c>
      <c r="P136" s="327">
        <f t="shared" si="115"/>
        <v>0</v>
      </c>
      <c r="Q136" s="573">
        <v>0</v>
      </c>
      <c r="R136" s="325">
        <v>0</v>
      </c>
      <c r="S136" s="325">
        <v>0</v>
      </c>
      <c r="T136" s="325">
        <v>0</v>
      </c>
      <c r="U136" s="325">
        <v>0</v>
      </c>
      <c r="V136" s="492">
        <f>P136+Q136+R136+S136+T136+U136</f>
        <v>0</v>
      </c>
      <c r="W136" s="325">
        <v>0</v>
      </c>
      <c r="X136" s="325">
        <v>0</v>
      </c>
      <c r="Y136" s="325">
        <v>0</v>
      </c>
      <c r="Z136" s="492">
        <f>W136+X136+Y136</f>
        <v>0</v>
      </c>
      <c r="AA136" s="492">
        <f>V136+Z136</f>
        <v>0</v>
      </c>
      <c r="AB136" s="494">
        <f>ROUND((V136+Z136)*33.8%,0)</f>
        <v>0</v>
      </c>
      <c r="AC136" s="494">
        <f>ROUND(V136*1%,0)</f>
        <v>0</v>
      </c>
      <c r="AD136" s="492">
        <v>0</v>
      </c>
      <c r="AE136" s="753">
        <f t="shared" si="116"/>
        <v>0</v>
      </c>
      <c r="AF136" s="813">
        <v>0</v>
      </c>
      <c r="AG136" s="729">
        <v>0</v>
      </c>
      <c r="AH136" s="728">
        <v>0</v>
      </c>
      <c r="AI136" s="728">
        <v>0</v>
      </c>
      <c r="AJ136" s="326">
        <v>0</v>
      </c>
      <c r="AK136" s="326">
        <v>0</v>
      </c>
      <c r="AL136" s="609">
        <f>SUM(AF136:AK136)</f>
        <v>0</v>
      </c>
      <c r="AM136" s="676">
        <f>I136+AE136</f>
        <v>254864</v>
      </c>
      <c r="AN136" s="492">
        <f>J136+V136</f>
        <v>189068</v>
      </c>
      <c r="AO136" s="573">
        <f>K136+Z136</f>
        <v>0</v>
      </c>
      <c r="AP136" s="492">
        <f t="shared" si="117"/>
        <v>63905</v>
      </c>
      <c r="AQ136" s="492">
        <f t="shared" si="117"/>
        <v>1891</v>
      </c>
      <c r="AR136" s="492">
        <f t="shared" si="117"/>
        <v>0</v>
      </c>
      <c r="AS136" s="609">
        <f>O136+AL136</f>
        <v>0.64</v>
      </c>
    </row>
    <row r="137" spans="1:45" ht="12.95" customHeight="1" x14ac:dyDescent="0.25">
      <c r="A137" s="205">
        <v>35</v>
      </c>
      <c r="B137" s="143">
        <v>2306</v>
      </c>
      <c r="C137" s="143">
        <v>650025873</v>
      </c>
      <c r="D137" s="206">
        <v>70695946</v>
      </c>
      <c r="E137" s="142" t="s">
        <v>503</v>
      </c>
      <c r="F137" s="143">
        <v>3143</v>
      </c>
      <c r="G137" s="248" t="s">
        <v>794</v>
      </c>
      <c r="H137" s="210" t="s">
        <v>262</v>
      </c>
      <c r="I137" s="580">
        <v>813933</v>
      </c>
      <c r="J137" s="490">
        <v>603808</v>
      </c>
      <c r="K137" s="490">
        <v>0</v>
      </c>
      <c r="L137" s="55">
        <v>204087</v>
      </c>
      <c r="M137" s="55">
        <v>6038</v>
      </c>
      <c r="N137" s="490">
        <v>0</v>
      </c>
      <c r="O137" s="719">
        <v>1.1341000000000001</v>
      </c>
      <c r="P137" s="327">
        <f t="shared" si="115"/>
        <v>0</v>
      </c>
      <c r="Q137" s="573">
        <v>0</v>
      </c>
      <c r="R137" s="325">
        <v>0</v>
      </c>
      <c r="S137" s="325">
        <v>0</v>
      </c>
      <c r="T137" s="325">
        <v>0</v>
      </c>
      <c r="U137" s="325">
        <v>0</v>
      </c>
      <c r="V137" s="492">
        <f>P137+Q137+R137+S137+T137+U137</f>
        <v>0</v>
      </c>
      <c r="W137" s="325">
        <v>0</v>
      </c>
      <c r="X137" s="325">
        <v>0</v>
      </c>
      <c r="Y137" s="325">
        <v>0</v>
      </c>
      <c r="Z137" s="492">
        <f>W137+X137+Y137</f>
        <v>0</v>
      </c>
      <c r="AA137" s="492">
        <f>V137+Z137</f>
        <v>0</v>
      </c>
      <c r="AB137" s="494">
        <f>ROUND((V137+Z137)*33.8%,0)</f>
        <v>0</v>
      </c>
      <c r="AC137" s="494">
        <f>ROUND(V137*1%,0)</f>
        <v>0</v>
      </c>
      <c r="AD137" s="492">
        <v>0</v>
      </c>
      <c r="AE137" s="753">
        <f t="shared" si="116"/>
        <v>0</v>
      </c>
      <c r="AF137" s="813">
        <v>0</v>
      </c>
      <c r="AG137" s="729">
        <v>0</v>
      </c>
      <c r="AH137" s="728">
        <v>0</v>
      </c>
      <c r="AI137" s="728">
        <v>0</v>
      </c>
      <c r="AJ137" s="326">
        <v>0</v>
      </c>
      <c r="AK137" s="326">
        <v>0</v>
      </c>
      <c r="AL137" s="609">
        <f>SUM(AF137:AK137)</f>
        <v>0</v>
      </c>
      <c r="AM137" s="676">
        <f>I137+AE137</f>
        <v>813933</v>
      </c>
      <c r="AN137" s="492">
        <f>J137+V137</f>
        <v>603808</v>
      </c>
      <c r="AO137" s="573">
        <f>K137+Z137</f>
        <v>0</v>
      </c>
      <c r="AP137" s="492">
        <f t="shared" si="117"/>
        <v>204087</v>
      </c>
      <c r="AQ137" s="492">
        <f t="shared" si="117"/>
        <v>6038</v>
      </c>
      <c r="AR137" s="492">
        <f t="shared" si="117"/>
        <v>0</v>
      </c>
      <c r="AS137" s="609">
        <f>O137+AL137</f>
        <v>1.1341000000000001</v>
      </c>
    </row>
    <row r="138" spans="1:45" ht="12.95" customHeight="1" x14ac:dyDescent="0.25">
      <c r="A138" s="145">
        <v>35</v>
      </c>
      <c r="B138" s="41">
        <v>2306</v>
      </c>
      <c r="C138" s="41">
        <v>650025873</v>
      </c>
      <c r="D138" s="41">
        <v>70695946</v>
      </c>
      <c r="E138" s="297" t="s">
        <v>504</v>
      </c>
      <c r="F138" s="41"/>
      <c r="G138" s="297"/>
      <c r="H138" s="128"/>
      <c r="I138" s="649">
        <v>6590082</v>
      </c>
      <c r="J138" s="567">
        <v>4888785</v>
      </c>
      <c r="K138" s="567">
        <v>0</v>
      </c>
      <c r="L138" s="351">
        <v>1652409</v>
      </c>
      <c r="M138" s="351">
        <v>48888</v>
      </c>
      <c r="N138" s="567">
        <v>0</v>
      </c>
      <c r="O138" s="732">
        <v>8.4089999999999989</v>
      </c>
      <c r="P138" s="654">
        <f t="shared" ref="P138:AS138" si="118">SUM(P134:P137)</f>
        <v>0</v>
      </c>
      <c r="Q138" s="466">
        <f t="shared" si="118"/>
        <v>0</v>
      </c>
      <c r="R138" s="351">
        <f t="shared" si="118"/>
        <v>0</v>
      </c>
      <c r="S138" s="351">
        <f t="shared" si="118"/>
        <v>0</v>
      </c>
      <c r="T138" s="351">
        <f t="shared" si="118"/>
        <v>0</v>
      </c>
      <c r="U138" s="351">
        <f t="shared" si="118"/>
        <v>0</v>
      </c>
      <c r="V138" s="351">
        <f t="shared" si="118"/>
        <v>0</v>
      </c>
      <c r="W138" s="351">
        <f t="shared" si="118"/>
        <v>0</v>
      </c>
      <c r="X138" s="351">
        <f t="shared" si="118"/>
        <v>0</v>
      </c>
      <c r="Y138" s="351">
        <f t="shared" si="118"/>
        <v>0</v>
      </c>
      <c r="Z138" s="351">
        <f t="shared" si="118"/>
        <v>0</v>
      </c>
      <c r="AA138" s="351">
        <f t="shared" si="118"/>
        <v>0</v>
      </c>
      <c r="AB138" s="351">
        <f t="shared" si="118"/>
        <v>0</v>
      </c>
      <c r="AC138" s="351">
        <f t="shared" si="118"/>
        <v>0</v>
      </c>
      <c r="AD138" s="351">
        <f t="shared" si="118"/>
        <v>0</v>
      </c>
      <c r="AE138" s="808">
        <f t="shared" si="118"/>
        <v>0</v>
      </c>
      <c r="AF138" s="815">
        <f t="shared" si="118"/>
        <v>0</v>
      </c>
      <c r="AG138" s="733">
        <f t="shared" si="118"/>
        <v>0</v>
      </c>
      <c r="AH138" s="733">
        <f t="shared" si="118"/>
        <v>0</v>
      </c>
      <c r="AI138" s="733">
        <f t="shared" si="118"/>
        <v>0</v>
      </c>
      <c r="AJ138" s="352">
        <f t="shared" si="118"/>
        <v>0</v>
      </c>
      <c r="AK138" s="352">
        <f t="shared" si="118"/>
        <v>0</v>
      </c>
      <c r="AL138" s="204">
        <f t="shared" si="118"/>
        <v>0</v>
      </c>
      <c r="AM138" s="654">
        <f t="shared" si="118"/>
        <v>6590082</v>
      </c>
      <c r="AN138" s="466">
        <f t="shared" si="118"/>
        <v>4888785</v>
      </c>
      <c r="AO138" s="351">
        <f t="shared" si="118"/>
        <v>0</v>
      </c>
      <c r="AP138" s="351">
        <f t="shared" si="118"/>
        <v>1652409</v>
      </c>
      <c r="AQ138" s="351">
        <f t="shared" si="118"/>
        <v>48888</v>
      </c>
      <c r="AR138" s="351">
        <f t="shared" si="118"/>
        <v>0</v>
      </c>
      <c r="AS138" s="204">
        <f t="shared" si="118"/>
        <v>8.4089999999999989</v>
      </c>
    </row>
    <row r="139" spans="1:45" ht="12.95" customHeight="1" x14ac:dyDescent="0.25">
      <c r="A139" s="205">
        <v>36</v>
      </c>
      <c r="B139" s="304">
        <v>2447</v>
      </c>
      <c r="C139" s="304">
        <v>600080111</v>
      </c>
      <c r="D139" s="206">
        <v>72744961</v>
      </c>
      <c r="E139" s="312" t="s">
        <v>505</v>
      </c>
      <c r="F139" s="304">
        <v>3117</v>
      </c>
      <c r="G139" s="295" t="s">
        <v>294</v>
      </c>
      <c r="H139" s="210" t="s">
        <v>262</v>
      </c>
      <c r="I139" s="580">
        <v>2897916</v>
      </c>
      <c r="J139" s="490">
        <v>2137878</v>
      </c>
      <c r="K139" s="490">
        <v>12000</v>
      </c>
      <c r="L139" s="55">
        <v>726659</v>
      </c>
      <c r="M139" s="55">
        <v>21379</v>
      </c>
      <c r="N139" s="490">
        <v>0</v>
      </c>
      <c r="O139" s="719">
        <v>3.2164999999999999</v>
      </c>
      <c r="P139" s="552">
        <f>W139*-1</f>
        <v>-8000</v>
      </c>
      <c r="Q139" s="573">
        <v>0</v>
      </c>
      <c r="R139" s="325">
        <v>0</v>
      </c>
      <c r="S139" s="325">
        <v>0</v>
      </c>
      <c r="T139" s="325">
        <v>0</v>
      </c>
      <c r="U139" s="325">
        <v>0</v>
      </c>
      <c r="V139" s="492">
        <f>P139+Q139+R139+S139+T139+U139</f>
        <v>-8000</v>
      </c>
      <c r="W139" s="325">
        <v>8000</v>
      </c>
      <c r="X139" s="325">
        <v>0</v>
      </c>
      <c r="Y139" s="325">
        <v>0</v>
      </c>
      <c r="Z139" s="492">
        <f>W139+X139+Y139</f>
        <v>8000</v>
      </c>
      <c r="AA139" s="492">
        <f>V139+Z139</f>
        <v>0</v>
      </c>
      <c r="AB139" s="494">
        <f>ROUND((V139+Z139)*33.8%,0)</f>
        <v>0</v>
      </c>
      <c r="AC139" s="494">
        <f>ROUND(V139*1%,0)</f>
        <v>-80</v>
      </c>
      <c r="AD139" s="492">
        <v>0</v>
      </c>
      <c r="AE139" s="753">
        <f t="shared" ref="AE139:AE141" si="119">AA139+AB139+AC139+AD139</f>
        <v>-80</v>
      </c>
      <c r="AF139" s="813">
        <v>-0.01</v>
      </c>
      <c r="AG139" s="729">
        <v>0</v>
      </c>
      <c r="AH139" s="728">
        <v>0</v>
      </c>
      <c r="AI139" s="728">
        <v>0</v>
      </c>
      <c r="AJ139" s="326">
        <v>0</v>
      </c>
      <c r="AK139" s="326">
        <v>0</v>
      </c>
      <c r="AL139" s="609">
        <f>SUM(AF139:AK139)</f>
        <v>-0.01</v>
      </c>
      <c r="AM139" s="676">
        <f>I139+AE139</f>
        <v>2897836</v>
      </c>
      <c r="AN139" s="492">
        <f>J139+V139</f>
        <v>2129878</v>
      </c>
      <c r="AO139" s="573">
        <f>K139+Z139</f>
        <v>20000</v>
      </c>
      <c r="AP139" s="492">
        <f t="shared" ref="AP139:AR141" si="120">L139+AB139</f>
        <v>726659</v>
      </c>
      <c r="AQ139" s="492">
        <f t="shared" si="120"/>
        <v>21299</v>
      </c>
      <c r="AR139" s="492">
        <f t="shared" si="120"/>
        <v>0</v>
      </c>
      <c r="AS139" s="609">
        <f>O139+AL139</f>
        <v>3.2065000000000001</v>
      </c>
    </row>
    <row r="140" spans="1:45" ht="12.95" customHeight="1" x14ac:dyDescent="0.25">
      <c r="A140" s="205">
        <v>36</v>
      </c>
      <c r="B140" s="299">
        <v>2447</v>
      </c>
      <c r="C140" s="299">
        <v>600080111</v>
      </c>
      <c r="D140" s="206">
        <v>72744961</v>
      </c>
      <c r="E140" s="142" t="s">
        <v>505</v>
      </c>
      <c r="F140" s="304">
        <v>3117</v>
      </c>
      <c r="G140" s="248" t="s">
        <v>278</v>
      </c>
      <c r="H140" s="210" t="s">
        <v>263</v>
      </c>
      <c r="I140" s="580">
        <v>338893</v>
      </c>
      <c r="J140" s="490">
        <v>251404</v>
      </c>
      <c r="K140" s="490">
        <v>0</v>
      </c>
      <c r="L140" s="55">
        <v>84975</v>
      </c>
      <c r="M140" s="55">
        <v>2514</v>
      </c>
      <c r="N140" s="490">
        <v>0</v>
      </c>
      <c r="O140" s="719">
        <v>0.6</v>
      </c>
      <c r="P140" s="327">
        <f>W140*-1</f>
        <v>0</v>
      </c>
      <c r="Q140" s="573">
        <v>0</v>
      </c>
      <c r="R140" s="325">
        <v>0</v>
      </c>
      <c r="S140" s="325">
        <v>0</v>
      </c>
      <c r="T140" s="325">
        <v>0</v>
      </c>
      <c r="U140" s="325">
        <v>0</v>
      </c>
      <c r="V140" s="492">
        <f>P140+Q140+R140+S140+T140+U140</f>
        <v>0</v>
      </c>
      <c r="W140" s="325">
        <v>0</v>
      </c>
      <c r="X140" s="325">
        <v>0</v>
      </c>
      <c r="Y140" s="325">
        <v>0</v>
      </c>
      <c r="Z140" s="492">
        <f>W140+X140+Y140</f>
        <v>0</v>
      </c>
      <c r="AA140" s="492">
        <f>V140+Z140</f>
        <v>0</v>
      </c>
      <c r="AB140" s="494">
        <f>ROUND((V140+Z140)*33.8%,0)</f>
        <v>0</v>
      </c>
      <c r="AC140" s="494">
        <f>ROUND(V140*1%,0)</f>
        <v>0</v>
      </c>
      <c r="AD140" s="492">
        <v>0</v>
      </c>
      <c r="AE140" s="753">
        <f t="shared" si="119"/>
        <v>0</v>
      </c>
      <c r="AF140" s="813">
        <v>0</v>
      </c>
      <c r="AG140" s="729">
        <v>0</v>
      </c>
      <c r="AH140" s="728">
        <v>0</v>
      </c>
      <c r="AI140" s="728">
        <v>0</v>
      </c>
      <c r="AJ140" s="326">
        <v>0</v>
      </c>
      <c r="AK140" s="326">
        <v>0</v>
      </c>
      <c r="AL140" s="609">
        <f>SUM(AF140:AK140)</f>
        <v>0</v>
      </c>
      <c r="AM140" s="676">
        <f>I140+AE140</f>
        <v>338893</v>
      </c>
      <c r="AN140" s="492">
        <f>J140+V140</f>
        <v>251404</v>
      </c>
      <c r="AO140" s="573">
        <f>K140+Z140</f>
        <v>0</v>
      </c>
      <c r="AP140" s="492">
        <f t="shared" si="120"/>
        <v>84975</v>
      </c>
      <c r="AQ140" s="492">
        <f t="shared" si="120"/>
        <v>2514</v>
      </c>
      <c r="AR140" s="492">
        <f t="shared" si="120"/>
        <v>0</v>
      </c>
      <c r="AS140" s="609">
        <f>O140+AL140</f>
        <v>0.6</v>
      </c>
    </row>
    <row r="141" spans="1:45" ht="12.95" customHeight="1" x14ac:dyDescent="0.25">
      <c r="A141" s="205">
        <v>36</v>
      </c>
      <c r="B141" s="299">
        <v>2447</v>
      </c>
      <c r="C141" s="299">
        <v>600080111</v>
      </c>
      <c r="D141" s="206">
        <v>72744961</v>
      </c>
      <c r="E141" s="142" t="s">
        <v>505</v>
      </c>
      <c r="F141" s="299">
        <v>3143</v>
      </c>
      <c r="G141" s="248" t="s">
        <v>795</v>
      </c>
      <c r="H141" s="210" t="s">
        <v>262</v>
      </c>
      <c r="I141" s="580">
        <v>1026865</v>
      </c>
      <c r="J141" s="490">
        <v>755814</v>
      </c>
      <c r="K141" s="490">
        <v>6000</v>
      </c>
      <c r="L141" s="55">
        <v>257493</v>
      </c>
      <c r="M141" s="55">
        <v>7558</v>
      </c>
      <c r="N141" s="490">
        <v>0</v>
      </c>
      <c r="O141" s="719">
        <v>1.57</v>
      </c>
      <c r="P141" s="327">
        <f>W141*-1</f>
        <v>-4000</v>
      </c>
      <c r="Q141" s="573">
        <v>0</v>
      </c>
      <c r="R141" s="325">
        <v>0</v>
      </c>
      <c r="S141" s="325">
        <v>0</v>
      </c>
      <c r="T141" s="325">
        <v>0</v>
      </c>
      <c r="U141" s="325">
        <v>0</v>
      </c>
      <c r="V141" s="492">
        <f>P141+Q141+R141+S141+T141+U141</f>
        <v>-4000</v>
      </c>
      <c r="W141" s="325">
        <v>4000</v>
      </c>
      <c r="X141" s="325">
        <v>0</v>
      </c>
      <c r="Y141" s="325">
        <v>0</v>
      </c>
      <c r="Z141" s="492">
        <f>W141+X141+Y141</f>
        <v>4000</v>
      </c>
      <c r="AA141" s="492">
        <f>V141+Z141</f>
        <v>0</v>
      </c>
      <c r="AB141" s="494">
        <f>ROUND((V141+Z141)*33.8%,0)</f>
        <v>0</v>
      </c>
      <c r="AC141" s="494">
        <f>ROUND(V141*1%,0)</f>
        <v>-40</v>
      </c>
      <c r="AD141" s="492">
        <v>0</v>
      </c>
      <c r="AE141" s="753">
        <f t="shared" si="119"/>
        <v>-40</v>
      </c>
      <c r="AF141" s="813">
        <v>0</v>
      </c>
      <c r="AG141" s="729">
        <v>0</v>
      </c>
      <c r="AH141" s="728">
        <v>0</v>
      </c>
      <c r="AI141" s="728">
        <v>0</v>
      </c>
      <c r="AJ141" s="326">
        <v>0</v>
      </c>
      <c r="AK141" s="326">
        <v>0</v>
      </c>
      <c r="AL141" s="609">
        <f>SUM(AF141:AK141)</f>
        <v>0</v>
      </c>
      <c r="AM141" s="676">
        <f>I141+AE141</f>
        <v>1026825</v>
      </c>
      <c r="AN141" s="492">
        <f>J141+V141</f>
        <v>751814</v>
      </c>
      <c r="AO141" s="573">
        <f>K141+Z141</f>
        <v>10000</v>
      </c>
      <c r="AP141" s="492">
        <f t="shared" si="120"/>
        <v>257493</v>
      </c>
      <c r="AQ141" s="492">
        <f t="shared" si="120"/>
        <v>7518</v>
      </c>
      <c r="AR141" s="492">
        <f t="shared" si="120"/>
        <v>0</v>
      </c>
      <c r="AS141" s="609">
        <f>O141+AL141</f>
        <v>1.57</v>
      </c>
    </row>
    <row r="142" spans="1:45" ht="12.95" customHeight="1" x14ac:dyDescent="0.25">
      <c r="A142" s="145">
        <v>36</v>
      </c>
      <c r="B142" s="42">
        <v>2447</v>
      </c>
      <c r="C142" s="42">
        <v>600080111</v>
      </c>
      <c r="D142" s="42">
        <v>72744961</v>
      </c>
      <c r="E142" s="301" t="s">
        <v>506</v>
      </c>
      <c r="F142" s="42"/>
      <c r="G142" s="301"/>
      <c r="H142" s="129"/>
      <c r="I142" s="649">
        <v>4263674</v>
      </c>
      <c r="J142" s="567">
        <v>3145096</v>
      </c>
      <c r="K142" s="567">
        <v>18000</v>
      </c>
      <c r="L142" s="351">
        <v>1069127</v>
      </c>
      <c r="M142" s="351">
        <v>31451</v>
      </c>
      <c r="N142" s="567">
        <v>0</v>
      </c>
      <c r="O142" s="732">
        <v>5.3864999999999998</v>
      </c>
      <c r="P142" s="654">
        <f t="shared" ref="P142:AS142" si="121">SUM(P139:P141)</f>
        <v>-12000</v>
      </c>
      <c r="Q142" s="466">
        <f t="shared" si="121"/>
        <v>0</v>
      </c>
      <c r="R142" s="351">
        <f t="shared" si="121"/>
        <v>0</v>
      </c>
      <c r="S142" s="351">
        <f t="shared" si="121"/>
        <v>0</v>
      </c>
      <c r="T142" s="351">
        <f t="shared" si="121"/>
        <v>0</v>
      </c>
      <c r="U142" s="351">
        <f t="shared" si="121"/>
        <v>0</v>
      </c>
      <c r="V142" s="351">
        <f t="shared" si="121"/>
        <v>-12000</v>
      </c>
      <c r="W142" s="351">
        <f t="shared" si="121"/>
        <v>12000</v>
      </c>
      <c r="X142" s="351">
        <f t="shared" si="121"/>
        <v>0</v>
      </c>
      <c r="Y142" s="351">
        <f t="shared" si="121"/>
        <v>0</v>
      </c>
      <c r="Z142" s="351">
        <f t="shared" si="121"/>
        <v>12000</v>
      </c>
      <c r="AA142" s="351">
        <f t="shared" si="121"/>
        <v>0</v>
      </c>
      <c r="AB142" s="351">
        <f t="shared" si="121"/>
        <v>0</v>
      </c>
      <c r="AC142" s="351">
        <f t="shared" si="121"/>
        <v>-120</v>
      </c>
      <c r="AD142" s="351">
        <f t="shared" si="121"/>
        <v>0</v>
      </c>
      <c r="AE142" s="808">
        <f t="shared" si="121"/>
        <v>-120</v>
      </c>
      <c r="AF142" s="815">
        <f t="shared" si="121"/>
        <v>-0.01</v>
      </c>
      <c r="AG142" s="733">
        <f t="shared" si="121"/>
        <v>0</v>
      </c>
      <c r="AH142" s="733">
        <f t="shared" si="121"/>
        <v>0</v>
      </c>
      <c r="AI142" s="733">
        <f t="shared" si="121"/>
        <v>0</v>
      </c>
      <c r="AJ142" s="352">
        <f t="shared" si="121"/>
        <v>0</v>
      </c>
      <c r="AK142" s="352">
        <f t="shared" si="121"/>
        <v>0</v>
      </c>
      <c r="AL142" s="204">
        <f t="shared" si="121"/>
        <v>-0.01</v>
      </c>
      <c r="AM142" s="654">
        <f t="shared" si="121"/>
        <v>4263554</v>
      </c>
      <c r="AN142" s="466">
        <f t="shared" si="121"/>
        <v>3133096</v>
      </c>
      <c r="AO142" s="351">
        <f t="shared" si="121"/>
        <v>30000</v>
      </c>
      <c r="AP142" s="351">
        <f t="shared" si="121"/>
        <v>1069127</v>
      </c>
      <c r="AQ142" s="351">
        <f t="shared" si="121"/>
        <v>31331</v>
      </c>
      <c r="AR142" s="351">
        <f t="shared" si="121"/>
        <v>0</v>
      </c>
      <c r="AS142" s="204">
        <f t="shared" si="121"/>
        <v>5.3765000000000001</v>
      </c>
    </row>
    <row r="143" spans="1:45" ht="12.95" customHeight="1" x14ac:dyDescent="0.25">
      <c r="A143" s="205">
        <v>37</v>
      </c>
      <c r="B143" s="143">
        <v>5455</v>
      </c>
      <c r="C143" s="143">
        <v>600099067</v>
      </c>
      <c r="D143" s="206">
        <v>70986088</v>
      </c>
      <c r="E143" s="294" t="s">
        <v>507</v>
      </c>
      <c r="F143" s="305">
        <v>3111</v>
      </c>
      <c r="G143" s="296" t="s">
        <v>290</v>
      </c>
      <c r="H143" s="210" t="s">
        <v>262</v>
      </c>
      <c r="I143" s="580">
        <v>3030200</v>
      </c>
      <c r="J143" s="490">
        <v>2247923</v>
      </c>
      <c r="K143" s="490">
        <v>0</v>
      </c>
      <c r="L143" s="55">
        <v>759798</v>
      </c>
      <c r="M143" s="55">
        <v>22479</v>
      </c>
      <c r="N143" s="490">
        <v>0</v>
      </c>
      <c r="O143" s="719">
        <v>4</v>
      </c>
      <c r="P143" s="552">
        <f>W143*-1</f>
        <v>0</v>
      </c>
      <c r="Q143" s="573">
        <v>0</v>
      </c>
      <c r="R143" s="325">
        <v>0</v>
      </c>
      <c r="S143" s="325">
        <v>0</v>
      </c>
      <c r="T143" s="325">
        <v>0</v>
      </c>
      <c r="U143" s="325">
        <v>0</v>
      </c>
      <c r="V143" s="492">
        <f>P143+Q143+R143+S143+T143+U143</f>
        <v>0</v>
      </c>
      <c r="W143" s="325">
        <v>0</v>
      </c>
      <c r="X143" s="325">
        <v>0</v>
      </c>
      <c r="Y143" s="325">
        <v>0</v>
      </c>
      <c r="Z143" s="492">
        <f>W143+X143+Y143</f>
        <v>0</v>
      </c>
      <c r="AA143" s="492">
        <f>V143+Z143</f>
        <v>0</v>
      </c>
      <c r="AB143" s="494">
        <f>ROUND((V143+Z143)*33.8%,0)</f>
        <v>0</v>
      </c>
      <c r="AC143" s="494">
        <f>ROUND(V143*1%,0)</f>
        <v>0</v>
      </c>
      <c r="AD143" s="492">
        <v>0</v>
      </c>
      <c r="AE143" s="753">
        <f t="shared" ref="AE143:AE145" si="122">AA143+AB143+AC143+AD143</f>
        <v>0</v>
      </c>
      <c r="AF143" s="813">
        <v>0</v>
      </c>
      <c r="AG143" s="729">
        <v>0</v>
      </c>
      <c r="AH143" s="728">
        <v>0</v>
      </c>
      <c r="AI143" s="728">
        <v>0</v>
      </c>
      <c r="AJ143" s="326">
        <v>0</v>
      </c>
      <c r="AK143" s="326">
        <v>0</v>
      </c>
      <c r="AL143" s="609">
        <f>SUM(AF143:AK143)</f>
        <v>0</v>
      </c>
      <c r="AM143" s="676">
        <f>I143+AE143</f>
        <v>3030200</v>
      </c>
      <c r="AN143" s="492">
        <f>J143+V143</f>
        <v>2247923</v>
      </c>
      <c r="AO143" s="573">
        <f>K143+Z143</f>
        <v>0</v>
      </c>
      <c r="AP143" s="492">
        <f t="shared" ref="AP143:AR145" si="123">L143+AB143</f>
        <v>759798</v>
      </c>
      <c r="AQ143" s="492">
        <f t="shared" si="123"/>
        <v>22479</v>
      </c>
      <c r="AR143" s="492">
        <f t="shared" si="123"/>
        <v>0</v>
      </c>
      <c r="AS143" s="609">
        <f>O143+AL143</f>
        <v>4</v>
      </c>
    </row>
    <row r="144" spans="1:45" ht="12.95" customHeight="1" x14ac:dyDescent="0.25">
      <c r="A144" s="205">
        <v>37</v>
      </c>
      <c r="B144" s="304">
        <v>5455</v>
      </c>
      <c r="C144" s="304">
        <v>600099067</v>
      </c>
      <c r="D144" s="206">
        <v>70986088</v>
      </c>
      <c r="E144" s="312" t="s">
        <v>507</v>
      </c>
      <c r="F144" s="304">
        <v>3117</v>
      </c>
      <c r="G144" s="295" t="s">
        <v>294</v>
      </c>
      <c r="H144" s="210" t="s">
        <v>262</v>
      </c>
      <c r="I144" s="580">
        <v>2774248</v>
      </c>
      <c r="J144" s="490">
        <v>2006039</v>
      </c>
      <c r="K144" s="490">
        <v>52397</v>
      </c>
      <c r="L144" s="55">
        <v>695751</v>
      </c>
      <c r="M144" s="55">
        <v>20061</v>
      </c>
      <c r="N144" s="490">
        <v>0</v>
      </c>
      <c r="O144" s="719">
        <v>2.3182</v>
      </c>
      <c r="P144" s="327">
        <f>W144*-1</f>
        <v>0</v>
      </c>
      <c r="Q144" s="573">
        <v>0</v>
      </c>
      <c r="R144" s="325">
        <v>0</v>
      </c>
      <c r="S144" s="325">
        <v>0</v>
      </c>
      <c r="T144" s="325">
        <v>0</v>
      </c>
      <c r="U144" s="325">
        <v>0</v>
      </c>
      <c r="V144" s="492">
        <f>P144+Q144+R144+S144+T144+U144</f>
        <v>0</v>
      </c>
      <c r="W144" s="325">
        <v>0</v>
      </c>
      <c r="X144" s="325">
        <v>0</v>
      </c>
      <c r="Y144" s="325">
        <v>0</v>
      </c>
      <c r="Z144" s="492">
        <f>W144+X144+Y144</f>
        <v>0</v>
      </c>
      <c r="AA144" s="492">
        <f>V144+Z144</f>
        <v>0</v>
      </c>
      <c r="AB144" s="494">
        <f>ROUND((V144+Z144)*33.8%,0)</f>
        <v>0</v>
      </c>
      <c r="AC144" s="494">
        <f>ROUND(V144*1%,0)</f>
        <v>0</v>
      </c>
      <c r="AD144" s="492">
        <v>0</v>
      </c>
      <c r="AE144" s="753">
        <f t="shared" si="122"/>
        <v>0</v>
      </c>
      <c r="AF144" s="813">
        <v>0</v>
      </c>
      <c r="AG144" s="729">
        <v>0</v>
      </c>
      <c r="AH144" s="728">
        <v>0</v>
      </c>
      <c r="AI144" s="728">
        <v>0</v>
      </c>
      <c r="AJ144" s="326">
        <v>0</v>
      </c>
      <c r="AK144" s="326">
        <v>0</v>
      </c>
      <c r="AL144" s="609">
        <f>SUM(AF144:AK144)</f>
        <v>0</v>
      </c>
      <c r="AM144" s="676">
        <f>I144+AE144</f>
        <v>2774248</v>
      </c>
      <c r="AN144" s="492">
        <f>J144+V144</f>
        <v>2006039</v>
      </c>
      <c r="AO144" s="573">
        <f>K144+Z144</f>
        <v>52397</v>
      </c>
      <c r="AP144" s="492">
        <f t="shared" si="123"/>
        <v>695751</v>
      </c>
      <c r="AQ144" s="492">
        <f t="shared" si="123"/>
        <v>20061</v>
      </c>
      <c r="AR144" s="492">
        <f t="shared" si="123"/>
        <v>0</v>
      </c>
      <c r="AS144" s="609">
        <f>O144+AL144</f>
        <v>2.3182</v>
      </c>
    </row>
    <row r="145" spans="1:45" ht="12.95" customHeight="1" x14ac:dyDescent="0.25">
      <c r="A145" s="205">
        <v>37</v>
      </c>
      <c r="B145" s="143">
        <v>5455</v>
      </c>
      <c r="C145" s="143">
        <v>600099067</v>
      </c>
      <c r="D145" s="206">
        <v>70986088</v>
      </c>
      <c r="E145" s="294" t="s">
        <v>507</v>
      </c>
      <c r="F145" s="305">
        <v>3143</v>
      </c>
      <c r="G145" s="248" t="s">
        <v>795</v>
      </c>
      <c r="H145" s="210" t="s">
        <v>262</v>
      </c>
      <c r="I145" s="580">
        <v>649935</v>
      </c>
      <c r="J145" s="490">
        <v>482148</v>
      </c>
      <c r="K145" s="490">
        <v>0</v>
      </c>
      <c r="L145" s="55">
        <v>162966</v>
      </c>
      <c r="M145" s="55">
        <v>4821</v>
      </c>
      <c r="N145" s="490">
        <v>0</v>
      </c>
      <c r="O145" s="719">
        <v>0.84850000000000003</v>
      </c>
      <c r="P145" s="327">
        <f>W145*-1</f>
        <v>0</v>
      </c>
      <c r="Q145" s="573">
        <v>0</v>
      </c>
      <c r="R145" s="325">
        <v>0</v>
      </c>
      <c r="S145" s="325">
        <v>0</v>
      </c>
      <c r="T145" s="325">
        <v>0</v>
      </c>
      <c r="U145" s="325">
        <v>0</v>
      </c>
      <c r="V145" s="492">
        <f>P145+Q145+R145+S145+T145+U145</f>
        <v>0</v>
      </c>
      <c r="W145" s="325">
        <v>0</v>
      </c>
      <c r="X145" s="325">
        <v>0</v>
      </c>
      <c r="Y145" s="325">
        <v>0</v>
      </c>
      <c r="Z145" s="492">
        <f>W145+X145+Y145</f>
        <v>0</v>
      </c>
      <c r="AA145" s="492">
        <f>V145+Z145</f>
        <v>0</v>
      </c>
      <c r="AB145" s="494">
        <f>ROUND((V145+Z145)*33.8%,0)</f>
        <v>0</v>
      </c>
      <c r="AC145" s="494">
        <f>ROUND(V145*1%,0)</f>
        <v>0</v>
      </c>
      <c r="AD145" s="492">
        <v>0</v>
      </c>
      <c r="AE145" s="753">
        <f t="shared" si="122"/>
        <v>0</v>
      </c>
      <c r="AF145" s="813">
        <v>0</v>
      </c>
      <c r="AG145" s="729">
        <v>0</v>
      </c>
      <c r="AH145" s="728">
        <v>0</v>
      </c>
      <c r="AI145" s="728">
        <v>0</v>
      </c>
      <c r="AJ145" s="326">
        <v>0</v>
      </c>
      <c r="AK145" s="326">
        <v>0</v>
      </c>
      <c r="AL145" s="609">
        <f>SUM(AF145:AK145)</f>
        <v>0</v>
      </c>
      <c r="AM145" s="676">
        <f>I145+AE145</f>
        <v>649935</v>
      </c>
      <c r="AN145" s="492">
        <f>J145+V145</f>
        <v>482148</v>
      </c>
      <c r="AO145" s="573">
        <f>K145+Z145</f>
        <v>0</v>
      </c>
      <c r="AP145" s="492">
        <f t="shared" si="123"/>
        <v>162966</v>
      </c>
      <c r="AQ145" s="492">
        <f t="shared" si="123"/>
        <v>4821</v>
      </c>
      <c r="AR145" s="492">
        <f t="shared" si="123"/>
        <v>0</v>
      </c>
      <c r="AS145" s="609">
        <f>O145+AL145</f>
        <v>0.84850000000000003</v>
      </c>
    </row>
    <row r="146" spans="1:45" ht="12.95" customHeight="1" x14ac:dyDescent="0.25">
      <c r="A146" s="145">
        <v>37</v>
      </c>
      <c r="B146" s="41">
        <v>5455</v>
      </c>
      <c r="C146" s="41">
        <v>600099067</v>
      </c>
      <c r="D146" s="41">
        <v>70986088</v>
      </c>
      <c r="E146" s="306" t="s">
        <v>508</v>
      </c>
      <c r="F146" s="307"/>
      <c r="G146" s="306"/>
      <c r="H146" s="308"/>
      <c r="I146" s="648">
        <v>6454383</v>
      </c>
      <c r="J146" s="566">
        <v>4736110</v>
      </c>
      <c r="K146" s="566">
        <v>52397</v>
      </c>
      <c r="L146" s="366">
        <v>1618515</v>
      </c>
      <c r="M146" s="366">
        <v>47361</v>
      </c>
      <c r="N146" s="566">
        <v>0</v>
      </c>
      <c r="O146" s="730">
        <v>7.1667000000000005</v>
      </c>
      <c r="P146" s="653">
        <f t="shared" ref="P146:AS146" si="124">SUM(P143:P145)</f>
        <v>0</v>
      </c>
      <c r="Q146" s="465">
        <f t="shared" si="124"/>
        <v>0</v>
      </c>
      <c r="R146" s="366">
        <f t="shared" si="124"/>
        <v>0</v>
      </c>
      <c r="S146" s="366">
        <f t="shared" si="124"/>
        <v>0</v>
      </c>
      <c r="T146" s="366">
        <f t="shared" si="124"/>
        <v>0</v>
      </c>
      <c r="U146" s="366">
        <f t="shared" si="124"/>
        <v>0</v>
      </c>
      <c r="V146" s="366">
        <f t="shared" si="124"/>
        <v>0</v>
      </c>
      <c r="W146" s="366">
        <f t="shared" si="124"/>
        <v>0</v>
      </c>
      <c r="X146" s="366">
        <f t="shared" si="124"/>
        <v>0</v>
      </c>
      <c r="Y146" s="366">
        <f t="shared" si="124"/>
        <v>0</v>
      </c>
      <c r="Z146" s="366">
        <f t="shared" si="124"/>
        <v>0</v>
      </c>
      <c r="AA146" s="366">
        <f t="shared" si="124"/>
        <v>0</v>
      </c>
      <c r="AB146" s="366">
        <f t="shared" si="124"/>
        <v>0</v>
      </c>
      <c r="AC146" s="366">
        <f t="shared" si="124"/>
        <v>0</v>
      </c>
      <c r="AD146" s="366">
        <f t="shared" si="124"/>
        <v>0</v>
      </c>
      <c r="AE146" s="807">
        <f t="shared" si="124"/>
        <v>0</v>
      </c>
      <c r="AF146" s="814">
        <f t="shared" si="124"/>
        <v>0</v>
      </c>
      <c r="AG146" s="731">
        <f t="shared" si="124"/>
        <v>0</v>
      </c>
      <c r="AH146" s="731">
        <f t="shared" si="124"/>
        <v>0</v>
      </c>
      <c r="AI146" s="731">
        <f t="shared" si="124"/>
        <v>0</v>
      </c>
      <c r="AJ146" s="367">
        <f t="shared" si="124"/>
        <v>0</v>
      </c>
      <c r="AK146" s="367">
        <f t="shared" si="124"/>
        <v>0</v>
      </c>
      <c r="AL146" s="298">
        <f t="shared" si="124"/>
        <v>0</v>
      </c>
      <c r="AM146" s="653">
        <f t="shared" si="124"/>
        <v>6454383</v>
      </c>
      <c r="AN146" s="465">
        <f t="shared" si="124"/>
        <v>4736110</v>
      </c>
      <c r="AO146" s="366">
        <f t="shared" si="124"/>
        <v>52397</v>
      </c>
      <c r="AP146" s="366">
        <f t="shared" si="124"/>
        <v>1618515</v>
      </c>
      <c r="AQ146" s="366">
        <f t="shared" si="124"/>
        <v>47361</v>
      </c>
      <c r="AR146" s="366">
        <f t="shared" si="124"/>
        <v>0</v>
      </c>
      <c r="AS146" s="298">
        <f t="shared" si="124"/>
        <v>7.1667000000000005</v>
      </c>
    </row>
    <row r="147" spans="1:45" ht="12.95" customHeight="1" x14ac:dyDescent="0.25">
      <c r="A147" s="205">
        <v>38</v>
      </c>
      <c r="B147" s="143">
        <v>5470</v>
      </c>
      <c r="C147" s="143">
        <v>600099091</v>
      </c>
      <c r="D147" s="206">
        <v>70695822</v>
      </c>
      <c r="E147" s="295" t="s">
        <v>509</v>
      </c>
      <c r="F147" s="143">
        <v>3111</v>
      </c>
      <c r="G147" s="296" t="s">
        <v>290</v>
      </c>
      <c r="H147" s="210" t="s">
        <v>262</v>
      </c>
      <c r="I147" s="580">
        <v>2914930</v>
      </c>
      <c r="J147" s="490">
        <v>2162411</v>
      </c>
      <c r="K147" s="490">
        <v>0</v>
      </c>
      <c r="L147" s="55">
        <v>730895</v>
      </c>
      <c r="M147" s="55">
        <v>21624</v>
      </c>
      <c r="N147" s="490">
        <v>0</v>
      </c>
      <c r="O147" s="719">
        <v>3.9032</v>
      </c>
      <c r="P147" s="552">
        <f t="shared" ref="P147:P150" si="125">W147*-1</f>
        <v>0</v>
      </c>
      <c r="Q147" s="573">
        <v>0</v>
      </c>
      <c r="R147" s="325">
        <v>0</v>
      </c>
      <c r="S147" s="325">
        <v>0</v>
      </c>
      <c r="T147" s="325">
        <v>0</v>
      </c>
      <c r="U147" s="325">
        <v>0</v>
      </c>
      <c r="V147" s="492">
        <f>P147+Q147+R147+S147+T147+U147</f>
        <v>0</v>
      </c>
      <c r="W147" s="325">
        <v>0</v>
      </c>
      <c r="X147" s="325">
        <v>0</v>
      </c>
      <c r="Y147" s="325">
        <v>0</v>
      </c>
      <c r="Z147" s="492">
        <f>W147+X147+Y147</f>
        <v>0</v>
      </c>
      <c r="AA147" s="492">
        <f>V147+Z147</f>
        <v>0</v>
      </c>
      <c r="AB147" s="494">
        <f>ROUND((V147+Z147)*33.8%,0)</f>
        <v>0</v>
      </c>
      <c r="AC147" s="494">
        <f>ROUND(V147*1%,0)</f>
        <v>0</v>
      </c>
      <c r="AD147" s="492">
        <v>0</v>
      </c>
      <c r="AE147" s="753">
        <f t="shared" ref="AE147:AE150" si="126">AA147+AB147+AC147+AD147</f>
        <v>0</v>
      </c>
      <c r="AF147" s="813">
        <v>0</v>
      </c>
      <c r="AG147" s="729">
        <v>0</v>
      </c>
      <c r="AH147" s="728">
        <v>0</v>
      </c>
      <c r="AI147" s="728">
        <v>0</v>
      </c>
      <c r="AJ147" s="326">
        <v>0</v>
      </c>
      <c r="AK147" s="326">
        <v>0</v>
      </c>
      <c r="AL147" s="609">
        <f>SUM(AF147:AK147)</f>
        <v>0</v>
      </c>
      <c r="AM147" s="676">
        <f>I147+AE147</f>
        <v>2914930</v>
      </c>
      <c r="AN147" s="492">
        <f>J147+V147</f>
        <v>2162411</v>
      </c>
      <c r="AO147" s="573">
        <f>K147+Z147</f>
        <v>0</v>
      </c>
      <c r="AP147" s="492">
        <f t="shared" ref="AP147:AR150" si="127">L147+AB147</f>
        <v>730895</v>
      </c>
      <c r="AQ147" s="492">
        <f t="shared" si="127"/>
        <v>21624</v>
      </c>
      <c r="AR147" s="492">
        <f t="shared" si="127"/>
        <v>0</v>
      </c>
      <c r="AS147" s="609">
        <f>O147+AL147</f>
        <v>3.9032</v>
      </c>
    </row>
    <row r="148" spans="1:45" ht="12.95" customHeight="1" x14ac:dyDescent="0.25">
      <c r="A148" s="205">
        <v>38</v>
      </c>
      <c r="B148" s="143">
        <v>5470</v>
      </c>
      <c r="C148" s="143">
        <v>600099091</v>
      </c>
      <c r="D148" s="206">
        <v>70695822</v>
      </c>
      <c r="E148" s="295" t="s">
        <v>509</v>
      </c>
      <c r="F148" s="143">
        <v>3117</v>
      </c>
      <c r="G148" s="295" t="s">
        <v>294</v>
      </c>
      <c r="H148" s="210" t="s">
        <v>262</v>
      </c>
      <c r="I148" s="580">
        <v>5760567</v>
      </c>
      <c r="J148" s="490">
        <v>4261507</v>
      </c>
      <c r="K148" s="490">
        <v>12000</v>
      </c>
      <c r="L148" s="55">
        <v>1444445</v>
      </c>
      <c r="M148" s="55">
        <v>42615</v>
      </c>
      <c r="N148" s="490">
        <v>0</v>
      </c>
      <c r="O148" s="719">
        <v>6.3309000000000006</v>
      </c>
      <c r="P148" s="327">
        <f t="shared" si="125"/>
        <v>-8000</v>
      </c>
      <c r="Q148" s="573">
        <v>0</v>
      </c>
      <c r="R148" s="325">
        <v>0</v>
      </c>
      <c r="S148" s="325">
        <v>0</v>
      </c>
      <c r="T148" s="325">
        <v>0</v>
      </c>
      <c r="U148" s="325">
        <v>0</v>
      </c>
      <c r="V148" s="492">
        <f>P148+Q148+R148+S148+T148+U148</f>
        <v>-8000</v>
      </c>
      <c r="W148" s="325">
        <v>8000</v>
      </c>
      <c r="X148" s="325">
        <v>0</v>
      </c>
      <c r="Y148" s="325">
        <v>0</v>
      </c>
      <c r="Z148" s="492">
        <f>W148+X148+Y148</f>
        <v>8000</v>
      </c>
      <c r="AA148" s="492">
        <f>V148+Z148</f>
        <v>0</v>
      </c>
      <c r="AB148" s="494">
        <f>ROUND((V148+Z148)*33.8%,0)</f>
        <v>0</v>
      </c>
      <c r="AC148" s="494">
        <f>ROUND(V148*1%,0)</f>
        <v>-80</v>
      </c>
      <c r="AD148" s="492">
        <v>0</v>
      </c>
      <c r="AE148" s="753">
        <f t="shared" si="126"/>
        <v>-80</v>
      </c>
      <c r="AF148" s="813">
        <v>0</v>
      </c>
      <c r="AG148" s="729">
        <v>0</v>
      </c>
      <c r="AH148" s="728">
        <v>0</v>
      </c>
      <c r="AI148" s="728">
        <v>0</v>
      </c>
      <c r="AJ148" s="326">
        <v>0</v>
      </c>
      <c r="AK148" s="326">
        <v>0</v>
      </c>
      <c r="AL148" s="609">
        <f>SUM(AF148:AK148)</f>
        <v>0</v>
      </c>
      <c r="AM148" s="676">
        <f>I148+AE148</f>
        <v>5760487</v>
      </c>
      <c r="AN148" s="492">
        <f>J148+V148</f>
        <v>4253507</v>
      </c>
      <c r="AO148" s="573">
        <f>K148+Z148</f>
        <v>20000</v>
      </c>
      <c r="AP148" s="492">
        <f t="shared" si="127"/>
        <v>1444445</v>
      </c>
      <c r="AQ148" s="492">
        <f t="shared" si="127"/>
        <v>42535</v>
      </c>
      <c r="AR148" s="492">
        <f t="shared" si="127"/>
        <v>0</v>
      </c>
      <c r="AS148" s="609">
        <f>O148+AL148</f>
        <v>6.3309000000000006</v>
      </c>
    </row>
    <row r="149" spans="1:45" ht="12.95" customHeight="1" x14ac:dyDescent="0.25">
      <c r="A149" s="205">
        <v>38</v>
      </c>
      <c r="B149" s="299">
        <v>5470</v>
      </c>
      <c r="C149" s="299">
        <v>600099091</v>
      </c>
      <c r="D149" s="206">
        <v>70695822</v>
      </c>
      <c r="E149" s="295" t="s">
        <v>509</v>
      </c>
      <c r="F149" s="143">
        <v>3117</v>
      </c>
      <c r="G149" s="248" t="s">
        <v>278</v>
      </c>
      <c r="H149" s="210" t="s">
        <v>263</v>
      </c>
      <c r="I149" s="580">
        <v>1387954</v>
      </c>
      <c r="J149" s="490">
        <v>1029640</v>
      </c>
      <c r="K149" s="490">
        <v>0</v>
      </c>
      <c r="L149" s="55">
        <v>348018</v>
      </c>
      <c r="M149" s="55">
        <v>10296</v>
      </c>
      <c r="N149" s="490">
        <v>0</v>
      </c>
      <c r="O149" s="719">
        <v>2.58</v>
      </c>
      <c r="P149" s="327">
        <f t="shared" si="125"/>
        <v>0</v>
      </c>
      <c r="Q149" s="573">
        <v>0</v>
      </c>
      <c r="R149" s="325">
        <v>0</v>
      </c>
      <c r="S149" s="325">
        <v>0</v>
      </c>
      <c r="T149" s="325">
        <v>0</v>
      </c>
      <c r="U149" s="325">
        <v>0</v>
      </c>
      <c r="V149" s="492">
        <f>P149+Q149+R149+S149+T149+U149</f>
        <v>0</v>
      </c>
      <c r="W149" s="325">
        <v>0</v>
      </c>
      <c r="X149" s="325">
        <v>0</v>
      </c>
      <c r="Y149" s="325">
        <v>0</v>
      </c>
      <c r="Z149" s="492">
        <f>W149+X149+Y149</f>
        <v>0</v>
      </c>
      <c r="AA149" s="492">
        <f>V149+Z149</f>
        <v>0</v>
      </c>
      <c r="AB149" s="494">
        <f>ROUND((V149+Z149)*33.8%,0)</f>
        <v>0</v>
      </c>
      <c r="AC149" s="494">
        <f>ROUND(V149*1%,0)</f>
        <v>0</v>
      </c>
      <c r="AD149" s="492">
        <v>0</v>
      </c>
      <c r="AE149" s="753">
        <f t="shared" si="126"/>
        <v>0</v>
      </c>
      <c r="AF149" s="813">
        <v>0</v>
      </c>
      <c r="AG149" s="729">
        <v>0</v>
      </c>
      <c r="AH149" s="728">
        <v>0</v>
      </c>
      <c r="AI149" s="728">
        <v>0</v>
      </c>
      <c r="AJ149" s="326">
        <v>0</v>
      </c>
      <c r="AK149" s="326">
        <v>0</v>
      </c>
      <c r="AL149" s="609">
        <f>SUM(AF149:AK149)</f>
        <v>0</v>
      </c>
      <c r="AM149" s="676">
        <f>I149+AE149</f>
        <v>1387954</v>
      </c>
      <c r="AN149" s="492">
        <f>J149+V149</f>
        <v>1029640</v>
      </c>
      <c r="AO149" s="573">
        <f>K149+Z149</f>
        <v>0</v>
      </c>
      <c r="AP149" s="492">
        <f t="shared" si="127"/>
        <v>348018</v>
      </c>
      <c r="AQ149" s="492">
        <f t="shared" si="127"/>
        <v>10296</v>
      </c>
      <c r="AR149" s="492">
        <f t="shared" si="127"/>
        <v>0</v>
      </c>
      <c r="AS149" s="609">
        <f>O149+AL149</f>
        <v>2.58</v>
      </c>
    </row>
    <row r="150" spans="1:45" ht="12.95" customHeight="1" x14ac:dyDescent="0.25">
      <c r="A150" s="205">
        <v>38</v>
      </c>
      <c r="B150" s="299">
        <v>5470</v>
      </c>
      <c r="C150" s="299">
        <v>600099091</v>
      </c>
      <c r="D150" s="206">
        <v>70695822</v>
      </c>
      <c r="E150" s="295" t="s">
        <v>509</v>
      </c>
      <c r="F150" s="143">
        <v>3143</v>
      </c>
      <c r="G150" s="248" t="s">
        <v>794</v>
      </c>
      <c r="H150" s="210" t="s">
        <v>262</v>
      </c>
      <c r="I150" s="580">
        <v>1110218</v>
      </c>
      <c r="J150" s="490">
        <v>823604</v>
      </c>
      <c r="K150" s="490">
        <v>0</v>
      </c>
      <c r="L150" s="55">
        <v>278378</v>
      </c>
      <c r="M150" s="55">
        <v>8236</v>
      </c>
      <c r="N150" s="490">
        <v>0</v>
      </c>
      <c r="O150" s="719">
        <v>1.6225000000000001</v>
      </c>
      <c r="P150" s="327">
        <f t="shared" si="125"/>
        <v>0</v>
      </c>
      <c r="Q150" s="573">
        <v>0</v>
      </c>
      <c r="R150" s="325">
        <v>0</v>
      </c>
      <c r="S150" s="325">
        <v>0</v>
      </c>
      <c r="T150" s="325">
        <v>0</v>
      </c>
      <c r="U150" s="325">
        <v>0</v>
      </c>
      <c r="V150" s="492">
        <f>P150+Q150+R150+S150+T150+U150</f>
        <v>0</v>
      </c>
      <c r="W150" s="325">
        <v>0</v>
      </c>
      <c r="X150" s="325">
        <v>0</v>
      </c>
      <c r="Y150" s="325">
        <v>0</v>
      </c>
      <c r="Z150" s="492">
        <f>W150+X150+Y150</f>
        <v>0</v>
      </c>
      <c r="AA150" s="492">
        <f>V150+Z150</f>
        <v>0</v>
      </c>
      <c r="AB150" s="494">
        <f>ROUND((V150+Z150)*33.8%,0)</f>
        <v>0</v>
      </c>
      <c r="AC150" s="494">
        <f>ROUND(V150*1%,0)</f>
        <v>0</v>
      </c>
      <c r="AD150" s="492">
        <v>0</v>
      </c>
      <c r="AE150" s="753">
        <f t="shared" si="126"/>
        <v>0</v>
      </c>
      <c r="AF150" s="813">
        <v>0</v>
      </c>
      <c r="AG150" s="729">
        <v>0</v>
      </c>
      <c r="AH150" s="728">
        <v>0</v>
      </c>
      <c r="AI150" s="728">
        <v>0</v>
      </c>
      <c r="AJ150" s="326">
        <v>0</v>
      </c>
      <c r="AK150" s="326">
        <v>0</v>
      </c>
      <c r="AL150" s="609">
        <f>SUM(AF150:AK150)</f>
        <v>0</v>
      </c>
      <c r="AM150" s="676">
        <f>I150+AE150</f>
        <v>1110218</v>
      </c>
      <c r="AN150" s="492">
        <f>J150+V150</f>
        <v>823604</v>
      </c>
      <c r="AO150" s="573">
        <f>K150+Z150</f>
        <v>0</v>
      </c>
      <c r="AP150" s="492">
        <f t="shared" si="127"/>
        <v>278378</v>
      </c>
      <c r="AQ150" s="492">
        <f t="shared" si="127"/>
        <v>8236</v>
      </c>
      <c r="AR150" s="492">
        <f t="shared" si="127"/>
        <v>0</v>
      </c>
      <c r="AS150" s="609">
        <f>O150+AL150</f>
        <v>1.6225000000000001</v>
      </c>
    </row>
    <row r="151" spans="1:45" ht="12.75" customHeight="1" thickBot="1" x14ac:dyDescent="0.3">
      <c r="A151" s="146">
        <v>38</v>
      </c>
      <c r="B151" s="118">
        <v>5470</v>
      </c>
      <c r="C151" s="118">
        <v>600099091</v>
      </c>
      <c r="D151" s="118">
        <v>70695822</v>
      </c>
      <c r="E151" s="313" t="s">
        <v>510</v>
      </c>
      <c r="F151" s="45"/>
      <c r="G151" s="313"/>
      <c r="H151" s="132"/>
      <c r="I151" s="652">
        <v>11173669</v>
      </c>
      <c r="J151" s="384">
        <v>8277162</v>
      </c>
      <c r="K151" s="384">
        <v>12000</v>
      </c>
      <c r="L151" s="384">
        <v>2801736</v>
      </c>
      <c r="M151" s="384">
        <v>82771</v>
      </c>
      <c r="N151" s="384">
        <v>0</v>
      </c>
      <c r="O151" s="806">
        <v>14.436600000000002</v>
      </c>
      <c r="P151" s="652">
        <f t="shared" ref="P151:AS151" si="128">SUM(P147:P150)</f>
        <v>-8000</v>
      </c>
      <c r="Q151" s="469">
        <f t="shared" si="128"/>
        <v>0</v>
      </c>
      <c r="R151" s="384">
        <f t="shared" si="128"/>
        <v>0</v>
      </c>
      <c r="S151" s="384">
        <f t="shared" si="128"/>
        <v>0</v>
      </c>
      <c r="T151" s="384">
        <f t="shared" si="128"/>
        <v>0</v>
      </c>
      <c r="U151" s="384">
        <f t="shared" si="128"/>
        <v>0</v>
      </c>
      <c r="V151" s="384">
        <f t="shared" si="128"/>
        <v>-8000</v>
      </c>
      <c r="W151" s="384">
        <f t="shared" si="128"/>
        <v>8000</v>
      </c>
      <c r="X151" s="384">
        <f t="shared" si="128"/>
        <v>0</v>
      </c>
      <c r="Y151" s="384">
        <f t="shared" si="128"/>
        <v>0</v>
      </c>
      <c r="Z151" s="384">
        <f t="shared" si="128"/>
        <v>8000</v>
      </c>
      <c r="AA151" s="384">
        <f t="shared" si="128"/>
        <v>0</v>
      </c>
      <c r="AB151" s="384">
        <f t="shared" si="128"/>
        <v>0</v>
      </c>
      <c r="AC151" s="384">
        <f t="shared" si="128"/>
        <v>-80</v>
      </c>
      <c r="AD151" s="384">
        <f t="shared" si="128"/>
        <v>0</v>
      </c>
      <c r="AE151" s="811">
        <f t="shared" si="128"/>
        <v>-80</v>
      </c>
      <c r="AF151" s="818">
        <f t="shared" si="128"/>
        <v>0</v>
      </c>
      <c r="AG151" s="741">
        <f t="shared" si="128"/>
        <v>0</v>
      </c>
      <c r="AH151" s="741">
        <f t="shared" si="128"/>
        <v>0</v>
      </c>
      <c r="AI151" s="741">
        <f t="shared" si="128"/>
        <v>0</v>
      </c>
      <c r="AJ151" s="385">
        <f t="shared" si="128"/>
        <v>0</v>
      </c>
      <c r="AK151" s="385">
        <f t="shared" si="128"/>
        <v>0</v>
      </c>
      <c r="AL151" s="386">
        <f t="shared" si="128"/>
        <v>0</v>
      </c>
      <c r="AM151" s="652">
        <f t="shared" si="128"/>
        <v>11173589</v>
      </c>
      <c r="AN151" s="469">
        <f t="shared" si="128"/>
        <v>8269162</v>
      </c>
      <c r="AO151" s="384">
        <f t="shared" si="128"/>
        <v>20000</v>
      </c>
      <c r="AP151" s="384">
        <f t="shared" si="128"/>
        <v>2801736</v>
      </c>
      <c r="AQ151" s="384">
        <f t="shared" si="128"/>
        <v>82691</v>
      </c>
      <c r="AR151" s="384">
        <f t="shared" si="128"/>
        <v>0</v>
      </c>
      <c r="AS151" s="386">
        <f t="shared" si="128"/>
        <v>14.436600000000002</v>
      </c>
    </row>
    <row r="152" spans="1:45" ht="12.75" customHeight="1" thickBot="1" x14ac:dyDescent="0.3">
      <c r="A152" s="314"/>
      <c r="B152" s="315"/>
      <c r="C152" s="315"/>
      <c r="D152" s="315"/>
      <c r="E152" s="230" t="s">
        <v>735</v>
      </c>
      <c r="F152" s="315"/>
      <c r="G152" s="316"/>
      <c r="H152" s="317"/>
      <c r="I152" s="363">
        <f t="shared" ref="I152:AS152" si="129">I151+I146+I142+I138+I133+I129+I126+I122+I120+I116+I114+I109+I106+I103+I99+I96+I92+I89+I84+I80+I77+I72+I69+I64+I62+I56+I52+I48+I43+I38+I36+I33+I31+I28+I25+I22+I19</f>
        <v>453211574</v>
      </c>
      <c r="J152" s="409">
        <f t="shared" si="129"/>
        <v>335546113</v>
      </c>
      <c r="K152" s="409">
        <f t="shared" si="129"/>
        <v>669224</v>
      </c>
      <c r="L152" s="364">
        <f t="shared" si="129"/>
        <v>113640780</v>
      </c>
      <c r="M152" s="364">
        <f t="shared" si="129"/>
        <v>3355457</v>
      </c>
      <c r="N152" s="364">
        <f t="shared" si="129"/>
        <v>0</v>
      </c>
      <c r="O152" s="725">
        <f t="shared" si="129"/>
        <v>532.84320000000002</v>
      </c>
      <c r="P152" s="417">
        <f t="shared" si="129"/>
        <v>-356880</v>
      </c>
      <c r="Q152" s="432">
        <f t="shared" si="129"/>
        <v>449848</v>
      </c>
      <c r="R152" s="432">
        <f t="shared" si="129"/>
        <v>0</v>
      </c>
      <c r="S152" s="438">
        <f t="shared" si="129"/>
        <v>-58376</v>
      </c>
      <c r="T152" s="432">
        <f t="shared" si="129"/>
        <v>0</v>
      </c>
      <c r="U152" s="432">
        <f t="shared" si="129"/>
        <v>0</v>
      </c>
      <c r="V152" s="432">
        <f t="shared" si="129"/>
        <v>34592</v>
      </c>
      <c r="W152" s="432">
        <f t="shared" si="129"/>
        <v>356880</v>
      </c>
      <c r="X152" s="432">
        <f t="shared" si="129"/>
        <v>0</v>
      </c>
      <c r="Y152" s="432">
        <f t="shared" si="129"/>
        <v>0</v>
      </c>
      <c r="Z152" s="432">
        <f t="shared" si="129"/>
        <v>356880</v>
      </c>
      <c r="AA152" s="432">
        <f t="shared" si="129"/>
        <v>391472</v>
      </c>
      <c r="AB152" s="432">
        <f t="shared" si="129"/>
        <v>132318</v>
      </c>
      <c r="AC152" s="432">
        <f t="shared" si="129"/>
        <v>346</v>
      </c>
      <c r="AD152" s="432">
        <f t="shared" si="129"/>
        <v>0</v>
      </c>
      <c r="AE152" s="812">
        <f t="shared" si="129"/>
        <v>524136</v>
      </c>
      <c r="AF152" s="878">
        <f>AF151+AF146+AF142+AF138+AF133+AF129+AF126+AF122+AF120+AF116+AF114+AF109+AF106+AF103+AF99+AF96+AF92+AF89+AF84+AF80+AF77+AF72+AF69+AF64+AF62+AF56+AF52+AF48+AF43+AF38+AF36+AF33+AF31+AF28+AF25+AF22+AF19</f>
        <v>-0.10000000000000005</v>
      </c>
      <c r="AG152" s="742">
        <f t="shared" si="129"/>
        <v>1.0900000000000001</v>
      </c>
      <c r="AH152" s="743">
        <f t="shared" si="129"/>
        <v>-0.13</v>
      </c>
      <c r="AI152" s="742">
        <f t="shared" si="129"/>
        <v>0</v>
      </c>
      <c r="AJ152" s="433">
        <f t="shared" si="129"/>
        <v>0</v>
      </c>
      <c r="AK152" s="433">
        <f t="shared" si="129"/>
        <v>0</v>
      </c>
      <c r="AL152" s="657">
        <f>AL151+AL146+AL142+AL138+AL133+AL129+AL126+AL122+AL120+AL116+AL114+AL109+AL106+AL103+AL99+AL96+AL92+AL89+AL84+AL80+AL77+AL72+AL69+AL64+AL62+AL56+AL52+AL48+AL43+AL38+AL36+AL33+AL31+AL28+AL25+AL22+AL19</f>
        <v>0.85999999999999976</v>
      </c>
      <c r="AM152" s="417">
        <f t="shared" si="129"/>
        <v>453735710</v>
      </c>
      <c r="AN152" s="441">
        <f t="shared" si="129"/>
        <v>335580705</v>
      </c>
      <c r="AO152" s="432">
        <f t="shared" si="129"/>
        <v>1026104</v>
      </c>
      <c r="AP152" s="432">
        <f t="shared" si="129"/>
        <v>113773098</v>
      </c>
      <c r="AQ152" s="432">
        <f t="shared" si="129"/>
        <v>3355803</v>
      </c>
      <c r="AR152" s="432">
        <f t="shared" si="129"/>
        <v>0</v>
      </c>
      <c r="AS152" s="657">
        <f t="shared" si="129"/>
        <v>533.70320000000004</v>
      </c>
    </row>
    <row r="153" spans="1:45" s="239" customFormat="1" ht="12.75" customHeight="1" x14ac:dyDescent="0.25">
      <c r="A153" s="318"/>
      <c r="B153" s="175"/>
      <c r="C153" s="175"/>
      <c r="D153" s="175"/>
      <c r="E153" s="235"/>
      <c r="F153" s="234"/>
      <c r="G153" s="175"/>
      <c r="H153" s="319"/>
      <c r="I153" s="328">
        <f>SUM(J152:N152)</f>
        <v>453211574</v>
      </c>
      <c r="J153" s="328"/>
      <c r="K153" s="328"/>
      <c r="L153" s="328"/>
      <c r="M153" s="328"/>
      <c r="N153" s="328"/>
      <c r="O153" s="709"/>
      <c r="P153" s="328">
        <f>W152</f>
        <v>356880</v>
      </c>
      <c r="Q153" s="329"/>
      <c r="R153" s="329"/>
      <c r="S153" s="329"/>
      <c r="T153" s="328"/>
      <c r="U153" s="329"/>
      <c r="V153" s="330">
        <f>SUM(P152:U152)</f>
        <v>34592</v>
      </c>
      <c r="W153" s="330">
        <f>P152</f>
        <v>-356880</v>
      </c>
      <c r="X153" s="331"/>
      <c r="Y153" s="331"/>
      <c r="Z153" s="330">
        <f>SUM(W152:Y152)</f>
        <v>356880</v>
      </c>
      <c r="AA153" s="330">
        <f>V152+Z152</f>
        <v>391472</v>
      </c>
      <c r="AB153" s="332"/>
      <c r="AC153" s="332"/>
      <c r="AD153" s="330"/>
      <c r="AE153" s="330">
        <f>SUM(AA152:AD152)</f>
        <v>524136</v>
      </c>
      <c r="AF153" s="333"/>
      <c r="AG153" s="333"/>
      <c r="AH153" s="333"/>
      <c r="AI153" s="333"/>
      <c r="AJ153" s="381"/>
      <c r="AK153" s="333"/>
      <c r="AL153" s="381">
        <f>SUM(AF152:AK152)</f>
        <v>0.86</v>
      </c>
      <c r="AM153" s="328">
        <f>SUM(AN152:AR152)</f>
        <v>453735710</v>
      </c>
      <c r="AN153" s="328"/>
      <c r="AO153" s="58"/>
      <c r="AP153" s="330"/>
      <c r="AQ153" s="330"/>
      <c r="AR153" s="330">
        <f>N152+AD152</f>
        <v>0</v>
      </c>
      <c r="AS153" s="329"/>
    </row>
    <row r="154" spans="1:45" s="239" customFormat="1" ht="12.75" customHeight="1" thickBot="1" x14ac:dyDescent="0.3">
      <c r="A154" s="318"/>
      <c r="B154" s="175"/>
      <c r="C154" s="175"/>
      <c r="D154" s="175"/>
      <c r="E154" s="175"/>
      <c r="F154" s="234"/>
      <c r="G154" s="175"/>
      <c r="H154" s="319"/>
      <c r="I154" s="328">
        <f>SUM(J155:N155)</f>
        <v>453211574</v>
      </c>
      <c r="J154" s="328"/>
      <c r="K154" s="328"/>
      <c r="L154" s="328"/>
      <c r="M154" s="328"/>
      <c r="N154" s="328"/>
      <c r="O154" s="709"/>
      <c r="P154" s="328">
        <f>W155</f>
        <v>356880</v>
      </c>
      <c r="Q154" s="329"/>
      <c r="R154" s="329"/>
      <c r="S154" s="329"/>
      <c r="T154" s="328"/>
      <c r="U154" s="329"/>
      <c r="V154" s="330">
        <f>SUM(P155:U155)</f>
        <v>34592</v>
      </c>
      <c r="W154" s="330"/>
      <c r="X154" s="331"/>
      <c r="Y154" s="331"/>
      <c r="Z154" s="330">
        <f>SUM(W155:Y155)</f>
        <v>356880</v>
      </c>
      <c r="AA154" s="330">
        <f>V155+Z155</f>
        <v>391472</v>
      </c>
      <c r="AB154" s="332"/>
      <c r="AC154" s="332"/>
      <c r="AD154" s="330"/>
      <c r="AE154" s="330">
        <f>SUM(AA155:AD155)</f>
        <v>524136</v>
      </c>
      <c r="AF154" s="333"/>
      <c r="AG154" s="333"/>
      <c r="AH154" s="333"/>
      <c r="AI154" s="333"/>
      <c r="AJ154" s="381"/>
      <c r="AK154" s="333"/>
      <c r="AL154" s="381">
        <f>SUM(AF155:AK155)</f>
        <v>0.85999999999999988</v>
      </c>
      <c r="AM154" s="328">
        <f>AN155+AO155+AP155+AQ155+AR155</f>
        <v>453735710</v>
      </c>
      <c r="AN154" s="328"/>
      <c r="AO154" s="58"/>
      <c r="AP154" s="48"/>
      <c r="AQ154" s="48"/>
      <c r="AR154" s="48"/>
      <c r="AS154" s="329"/>
    </row>
    <row r="155" spans="1:45" s="60" customFormat="1" ht="12.95" customHeight="1" thickBot="1" x14ac:dyDescent="0.3">
      <c r="A155" s="236"/>
      <c r="D155" s="236"/>
      <c r="E155" s="237"/>
      <c r="F155" s="236"/>
      <c r="G155" s="238"/>
      <c r="H155" s="338" t="s">
        <v>0</v>
      </c>
      <c r="I155" s="363">
        <f t="shared" ref="I155:AS155" si="130">SUM(I156:I165)</f>
        <v>453211574</v>
      </c>
      <c r="J155" s="364">
        <f t="shared" si="130"/>
        <v>335546113</v>
      </c>
      <c r="K155" s="364">
        <f t="shared" si="130"/>
        <v>669224</v>
      </c>
      <c r="L155" s="364">
        <f t="shared" si="130"/>
        <v>113640780</v>
      </c>
      <c r="M155" s="364">
        <f t="shared" si="130"/>
        <v>3355457</v>
      </c>
      <c r="N155" s="364">
        <f t="shared" si="130"/>
        <v>0</v>
      </c>
      <c r="O155" s="598">
        <f t="shared" si="130"/>
        <v>532.84320000000002</v>
      </c>
      <c r="P155" s="409">
        <f t="shared" si="130"/>
        <v>-356880</v>
      </c>
      <c r="Q155" s="364">
        <f t="shared" si="130"/>
        <v>449848</v>
      </c>
      <c r="R155" s="364">
        <f t="shared" si="130"/>
        <v>0</v>
      </c>
      <c r="S155" s="437">
        <f t="shared" si="130"/>
        <v>-58376</v>
      </c>
      <c r="T155" s="364">
        <f t="shared" si="130"/>
        <v>0</v>
      </c>
      <c r="U155" s="364">
        <f t="shared" si="130"/>
        <v>0</v>
      </c>
      <c r="V155" s="364">
        <f t="shared" si="130"/>
        <v>34592</v>
      </c>
      <c r="W155" s="364">
        <f t="shared" si="130"/>
        <v>356880</v>
      </c>
      <c r="X155" s="364">
        <f t="shared" si="130"/>
        <v>0</v>
      </c>
      <c r="Y155" s="364">
        <f t="shared" si="130"/>
        <v>0</v>
      </c>
      <c r="Z155" s="364">
        <f t="shared" si="130"/>
        <v>356880</v>
      </c>
      <c r="AA155" s="364">
        <f t="shared" si="130"/>
        <v>391472</v>
      </c>
      <c r="AB155" s="364">
        <f t="shared" si="130"/>
        <v>132318</v>
      </c>
      <c r="AC155" s="364">
        <f t="shared" si="130"/>
        <v>346</v>
      </c>
      <c r="AD155" s="364">
        <f t="shared" si="130"/>
        <v>0</v>
      </c>
      <c r="AE155" s="800">
        <f t="shared" si="130"/>
        <v>524136</v>
      </c>
      <c r="AF155" s="804">
        <f t="shared" si="130"/>
        <v>-0.10000000000000002</v>
      </c>
      <c r="AG155" s="365">
        <f t="shared" si="130"/>
        <v>1.0899999999999999</v>
      </c>
      <c r="AH155" s="365">
        <f t="shared" si="130"/>
        <v>-0.13</v>
      </c>
      <c r="AI155" s="365">
        <f t="shared" si="130"/>
        <v>0</v>
      </c>
      <c r="AJ155" s="365">
        <f t="shared" si="130"/>
        <v>0</v>
      </c>
      <c r="AK155" s="365">
        <f t="shared" si="130"/>
        <v>0</v>
      </c>
      <c r="AL155" s="598">
        <f t="shared" si="130"/>
        <v>0.86</v>
      </c>
      <c r="AM155" s="363">
        <f t="shared" si="130"/>
        <v>453735710</v>
      </c>
      <c r="AN155" s="364">
        <f t="shared" si="130"/>
        <v>335580705</v>
      </c>
      <c r="AO155" s="364">
        <f t="shared" si="130"/>
        <v>1026104</v>
      </c>
      <c r="AP155" s="364">
        <f t="shared" si="130"/>
        <v>113773098</v>
      </c>
      <c r="AQ155" s="364">
        <f t="shared" si="130"/>
        <v>3355803</v>
      </c>
      <c r="AR155" s="364">
        <f t="shared" si="130"/>
        <v>0</v>
      </c>
      <c r="AS155" s="598">
        <f t="shared" si="130"/>
        <v>533.70319999999992</v>
      </c>
    </row>
    <row r="156" spans="1:45" s="60" customFormat="1" ht="12.95" customHeight="1" x14ac:dyDescent="0.25">
      <c r="A156" s="236"/>
      <c r="D156" s="236"/>
      <c r="E156" s="320"/>
      <c r="F156" s="236"/>
      <c r="G156" s="238"/>
      <c r="H156" s="339">
        <v>3111</v>
      </c>
      <c r="I156" s="370">
        <f t="shared" ref="I156:AS156" si="131">SUMIF($F$12:$F$384,"=3111",I$12:I$384)</f>
        <v>110411527</v>
      </c>
      <c r="J156" s="371">
        <f t="shared" si="131"/>
        <v>81818331</v>
      </c>
      <c r="K156" s="371">
        <f t="shared" si="131"/>
        <v>90000</v>
      </c>
      <c r="L156" s="371">
        <f t="shared" si="131"/>
        <v>27685015</v>
      </c>
      <c r="M156" s="371">
        <f t="shared" si="131"/>
        <v>818181</v>
      </c>
      <c r="N156" s="371">
        <f t="shared" si="131"/>
        <v>0</v>
      </c>
      <c r="O156" s="786">
        <f t="shared" si="131"/>
        <v>143.17559999999997</v>
      </c>
      <c r="P156" s="372">
        <f t="shared" si="131"/>
        <v>-60000</v>
      </c>
      <c r="Q156" s="371">
        <f t="shared" si="131"/>
        <v>82677</v>
      </c>
      <c r="R156" s="371">
        <f t="shared" si="131"/>
        <v>0</v>
      </c>
      <c r="S156" s="371">
        <f t="shared" si="131"/>
        <v>0</v>
      </c>
      <c r="T156" s="371">
        <f t="shared" si="131"/>
        <v>0</v>
      </c>
      <c r="U156" s="371">
        <f t="shared" si="131"/>
        <v>0</v>
      </c>
      <c r="V156" s="371">
        <f t="shared" si="131"/>
        <v>22677</v>
      </c>
      <c r="W156" s="371">
        <f t="shared" si="131"/>
        <v>60000</v>
      </c>
      <c r="X156" s="371">
        <f t="shared" si="131"/>
        <v>0</v>
      </c>
      <c r="Y156" s="371">
        <f t="shared" si="131"/>
        <v>0</v>
      </c>
      <c r="Z156" s="371">
        <f t="shared" si="131"/>
        <v>60000</v>
      </c>
      <c r="AA156" s="371">
        <f t="shared" si="131"/>
        <v>82677</v>
      </c>
      <c r="AB156" s="371">
        <f t="shared" si="131"/>
        <v>27945</v>
      </c>
      <c r="AC156" s="371">
        <f t="shared" si="131"/>
        <v>227</v>
      </c>
      <c r="AD156" s="371">
        <f t="shared" si="131"/>
        <v>0</v>
      </c>
      <c r="AE156" s="625">
        <f t="shared" si="131"/>
        <v>110849</v>
      </c>
      <c r="AF156" s="630">
        <f t="shared" si="131"/>
        <v>0</v>
      </c>
      <c r="AG156" s="373">
        <f t="shared" si="131"/>
        <v>0.21</v>
      </c>
      <c r="AH156" s="373">
        <f t="shared" si="131"/>
        <v>0</v>
      </c>
      <c r="AI156" s="373">
        <f t="shared" si="131"/>
        <v>0</v>
      </c>
      <c r="AJ156" s="373">
        <f t="shared" si="131"/>
        <v>0</v>
      </c>
      <c r="AK156" s="373">
        <f t="shared" si="131"/>
        <v>0</v>
      </c>
      <c r="AL156" s="631">
        <f t="shared" si="131"/>
        <v>0.21</v>
      </c>
      <c r="AM156" s="370">
        <f t="shared" si="131"/>
        <v>110522376</v>
      </c>
      <c r="AN156" s="371">
        <f t="shared" si="131"/>
        <v>81841008</v>
      </c>
      <c r="AO156" s="371">
        <f t="shared" si="131"/>
        <v>150000</v>
      </c>
      <c r="AP156" s="371">
        <f t="shared" si="131"/>
        <v>27712960</v>
      </c>
      <c r="AQ156" s="371">
        <f t="shared" si="131"/>
        <v>818408</v>
      </c>
      <c r="AR156" s="371">
        <f t="shared" si="131"/>
        <v>0</v>
      </c>
      <c r="AS156" s="631">
        <f t="shared" si="131"/>
        <v>143.38559999999998</v>
      </c>
    </row>
    <row r="157" spans="1:45" s="60" customFormat="1" ht="12.95" customHeight="1" x14ac:dyDescent="0.25">
      <c r="A157" s="236"/>
      <c r="D157" s="236"/>
      <c r="E157" s="320"/>
      <c r="F157" s="236"/>
      <c r="G157" s="238"/>
      <c r="H157" s="2">
        <v>3113</v>
      </c>
      <c r="I157" s="119">
        <f t="shared" ref="I157:AS157" si="132">SUMIF($F$12:$F$384,"=3113",I$12:I$384)</f>
        <v>205458137</v>
      </c>
      <c r="J157" s="14">
        <f t="shared" si="132"/>
        <v>152141933</v>
      </c>
      <c r="K157" s="14">
        <f t="shared" si="132"/>
        <v>277140</v>
      </c>
      <c r="L157" s="14">
        <f t="shared" si="132"/>
        <v>51517644</v>
      </c>
      <c r="M157" s="14">
        <f t="shared" si="132"/>
        <v>1521420</v>
      </c>
      <c r="N157" s="14">
        <f t="shared" si="132"/>
        <v>0</v>
      </c>
      <c r="O157" s="787">
        <f t="shared" si="132"/>
        <v>225.8708</v>
      </c>
      <c r="P157" s="120">
        <f t="shared" si="132"/>
        <v>-184760</v>
      </c>
      <c r="Q157" s="14">
        <f t="shared" si="132"/>
        <v>280239</v>
      </c>
      <c r="R157" s="14">
        <f t="shared" si="132"/>
        <v>0</v>
      </c>
      <c r="S157" s="14">
        <f t="shared" si="132"/>
        <v>0</v>
      </c>
      <c r="T157" s="14">
        <f t="shared" si="132"/>
        <v>0</v>
      </c>
      <c r="U157" s="14">
        <f t="shared" si="132"/>
        <v>0</v>
      </c>
      <c r="V157" s="14">
        <f t="shared" si="132"/>
        <v>95479</v>
      </c>
      <c r="W157" s="14">
        <f t="shared" si="132"/>
        <v>184760</v>
      </c>
      <c r="X157" s="14">
        <f t="shared" si="132"/>
        <v>0</v>
      </c>
      <c r="Y157" s="14">
        <f t="shared" si="132"/>
        <v>0</v>
      </c>
      <c r="Z157" s="14">
        <f t="shared" si="132"/>
        <v>184760</v>
      </c>
      <c r="AA157" s="14">
        <f t="shared" si="132"/>
        <v>280239</v>
      </c>
      <c r="AB157" s="14">
        <f t="shared" si="132"/>
        <v>94721</v>
      </c>
      <c r="AC157" s="14">
        <f t="shared" si="132"/>
        <v>954</v>
      </c>
      <c r="AD157" s="14">
        <f t="shared" si="132"/>
        <v>0</v>
      </c>
      <c r="AE157" s="626">
        <f t="shared" si="132"/>
        <v>375914</v>
      </c>
      <c r="AF157" s="632">
        <f t="shared" si="132"/>
        <v>-0.17</v>
      </c>
      <c r="AG157" s="11">
        <f t="shared" si="132"/>
        <v>0.66999999999999993</v>
      </c>
      <c r="AH157" s="11">
        <f t="shared" si="132"/>
        <v>0</v>
      </c>
      <c r="AI157" s="11">
        <f t="shared" si="132"/>
        <v>0</v>
      </c>
      <c r="AJ157" s="11">
        <f t="shared" si="132"/>
        <v>0</v>
      </c>
      <c r="AK157" s="11">
        <f t="shared" si="132"/>
        <v>0</v>
      </c>
      <c r="AL157" s="633">
        <f t="shared" si="132"/>
        <v>0.49999999999999994</v>
      </c>
      <c r="AM157" s="119">
        <f t="shared" si="132"/>
        <v>205834051</v>
      </c>
      <c r="AN157" s="14">
        <f t="shared" si="132"/>
        <v>152237412</v>
      </c>
      <c r="AO157" s="14">
        <f t="shared" si="132"/>
        <v>461900</v>
      </c>
      <c r="AP157" s="14">
        <f t="shared" si="132"/>
        <v>51612365</v>
      </c>
      <c r="AQ157" s="14">
        <f t="shared" si="132"/>
        <v>1522374</v>
      </c>
      <c r="AR157" s="14">
        <f t="shared" si="132"/>
        <v>0</v>
      </c>
      <c r="AS157" s="633">
        <f t="shared" si="132"/>
        <v>226.3708</v>
      </c>
    </row>
    <row r="158" spans="1:45" s="60" customFormat="1" ht="12.95" customHeight="1" x14ac:dyDescent="0.25">
      <c r="A158" s="236"/>
      <c r="D158" s="236"/>
      <c r="E158" s="320"/>
      <c r="F158" s="236"/>
      <c r="G158" s="238"/>
      <c r="H158" s="2">
        <v>3114</v>
      </c>
      <c r="I158" s="119">
        <f t="shared" ref="I158:AS158" si="133">SUMIF($F$12:$F$384,"=3114",I$12:I$384)</f>
        <v>27447869</v>
      </c>
      <c r="J158" s="14">
        <f t="shared" si="133"/>
        <v>20361921</v>
      </c>
      <c r="K158" s="14">
        <f t="shared" si="133"/>
        <v>0</v>
      </c>
      <c r="L158" s="14">
        <f t="shared" si="133"/>
        <v>6882330</v>
      </c>
      <c r="M158" s="14">
        <f t="shared" si="133"/>
        <v>203618</v>
      </c>
      <c r="N158" s="14">
        <f t="shared" si="133"/>
        <v>0</v>
      </c>
      <c r="O158" s="787">
        <f t="shared" si="133"/>
        <v>31.230000000000004</v>
      </c>
      <c r="P158" s="120">
        <f t="shared" si="133"/>
        <v>0</v>
      </c>
      <c r="Q158" s="14">
        <f t="shared" si="133"/>
        <v>0</v>
      </c>
      <c r="R158" s="14">
        <f t="shared" si="133"/>
        <v>0</v>
      </c>
      <c r="S158" s="14">
        <f t="shared" si="133"/>
        <v>-58376</v>
      </c>
      <c r="T158" s="14">
        <f t="shared" si="133"/>
        <v>0</v>
      </c>
      <c r="U158" s="14">
        <f t="shared" si="133"/>
        <v>0</v>
      </c>
      <c r="V158" s="14">
        <f t="shared" si="133"/>
        <v>-58376</v>
      </c>
      <c r="W158" s="14">
        <f t="shared" si="133"/>
        <v>0</v>
      </c>
      <c r="X158" s="14">
        <f t="shared" si="133"/>
        <v>0</v>
      </c>
      <c r="Y158" s="14">
        <f t="shared" si="133"/>
        <v>0</v>
      </c>
      <c r="Z158" s="14">
        <f t="shared" si="133"/>
        <v>0</v>
      </c>
      <c r="AA158" s="14">
        <f t="shared" si="133"/>
        <v>-58376</v>
      </c>
      <c r="AB158" s="14">
        <f t="shared" si="133"/>
        <v>-19731</v>
      </c>
      <c r="AC158" s="14">
        <f t="shared" si="133"/>
        <v>-584</v>
      </c>
      <c r="AD158" s="14">
        <f t="shared" si="133"/>
        <v>0</v>
      </c>
      <c r="AE158" s="626">
        <f t="shared" si="133"/>
        <v>-78691</v>
      </c>
      <c r="AF158" s="632">
        <f t="shared" si="133"/>
        <v>0</v>
      </c>
      <c r="AG158" s="11">
        <f t="shared" si="133"/>
        <v>0</v>
      </c>
      <c r="AH158" s="11">
        <f t="shared" si="133"/>
        <v>-0.13</v>
      </c>
      <c r="AI158" s="11">
        <f t="shared" si="133"/>
        <v>0</v>
      </c>
      <c r="AJ158" s="11">
        <f t="shared" si="133"/>
        <v>0</v>
      </c>
      <c r="AK158" s="11">
        <f t="shared" si="133"/>
        <v>0</v>
      </c>
      <c r="AL158" s="633">
        <f t="shared" si="133"/>
        <v>-0.13</v>
      </c>
      <c r="AM158" s="119">
        <f t="shared" si="133"/>
        <v>27369178</v>
      </c>
      <c r="AN158" s="14">
        <f t="shared" si="133"/>
        <v>20303545</v>
      </c>
      <c r="AO158" s="14">
        <f t="shared" si="133"/>
        <v>0</v>
      </c>
      <c r="AP158" s="14">
        <f t="shared" si="133"/>
        <v>6862599</v>
      </c>
      <c r="AQ158" s="14">
        <f t="shared" si="133"/>
        <v>203034</v>
      </c>
      <c r="AR158" s="14">
        <f t="shared" si="133"/>
        <v>0</v>
      </c>
      <c r="AS158" s="633">
        <f t="shared" si="133"/>
        <v>31.1</v>
      </c>
    </row>
    <row r="159" spans="1:45" s="60" customFormat="1" ht="12.95" customHeight="1" x14ac:dyDescent="0.25">
      <c r="A159" s="236"/>
      <c r="D159" s="236"/>
      <c r="E159" s="320"/>
      <c r="F159" s="236"/>
      <c r="G159" s="238"/>
      <c r="H159" s="2">
        <v>3117</v>
      </c>
      <c r="I159" s="119">
        <f t="shared" ref="I159:AS159" si="134">SUMIF($F$12:$F$384,"=3117",I$12:I$384)</f>
        <v>50717895</v>
      </c>
      <c r="J159" s="14">
        <f t="shared" si="134"/>
        <v>37426905</v>
      </c>
      <c r="K159" s="14">
        <f t="shared" si="134"/>
        <v>199124</v>
      </c>
      <c r="L159" s="14">
        <f t="shared" si="134"/>
        <v>12717594</v>
      </c>
      <c r="M159" s="14">
        <f t="shared" si="134"/>
        <v>374272</v>
      </c>
      <c r="N159" s="14">
        <f t="shared" si="134"/>
        <v>0</v>
      </c>
      <c r="O159" s="787">
        <f t="shared" si="134"/>
        <v>57.378200000000007</v>
      </c>
      <c r="P159" s="120">
        <f t="shared" si="134"/>
        <v>-43480</v>
      </c>
      <c r="Q159" s="14">
        <f t="shared" si="134"/>
        <v>86932</v>
      </c>
      <c r="R159" s="14">
        <f t="shared" si="134"/>
        <v>0</v>
      </c>
      <c r="S159" s="14">
        <f t="shared" si="134"/>
        <v>0</v>
      </c>
      <c r="T159" s="14">
        <f t="shared" si="134"/>
        <v>0</v>
      </c>
      <c r="U159" s="14">
        <f t="shared" si="134"/>
        <v>0</v>
      </c>
      <c r="V159" s="14">
        <f t="shared" si="134"/>
        <v>43452</v>
      </c>
      <c r="W159" s="14">
        <f t="shared" si="134"/>
        <v>43480</v>
      </c>
      <c r="X159" s="14">
        <f t="shared" si="134"/>
        <v>0</v>
      </c>
      <c r="Y159" s="14">
        <f t="shared" si="134"/>
        <v>0</v>
      </c>
      <c r="Z159" s="14">
        <f t="shared" si="134"/>
        <v>43480</v>
      </c>
      <c r="AA159" s="14">
        <f t="shared" si="134"/>
        <v>86932</v>
      </c>
      <c r="AB159" s="14">
        <f t="shared" si="134"/>
        <v>29383</v>
      </c>
      <c r="AC159" s="14">
        <f t="shared" si="134"/>
        <v>435</v>
      </c>
      <c r="AD159" s="14">
        <f t="shared" si="134"/>
        <v>0</v>
      </c>
      <c r="AE159" s="626">
        <f t="shared" si="134"/>
        <v>116750</v>
      </c>
      <c r="AF159" s="632">
        <f t="shared" si="134"/>
        <v>-0.01</v>
      </c>
      <c r="AG159" s="11">
        <f t="shared" si="134"/>
        <v>0.21000000000000002</v>
      </c>
      <c r="AH159" s="11">
        <f t="shared" si="134"/>
        <v>0</v>
      </c>
      <c r="AI159" s="11">
        <f t="shared" si="134"/>
        <v>0</v>
      </c>
      <c r="AJ159" s="11">
        <f t="shared" si="134"/>
        <v>0</v>
      </c>
      <c r="AK159" s="11">
        <f t="shared" si="134"/>
        <v>0</v>
      </c>
      <c r="AL159" s="633">
        <f t="shared" si="134"/>
        <v>0.2</v>
      </c>
      <c r="AM159" s="119">
        <f t="shared" si="134"/>
        <v>50834645</v>
      </c>
      <c r="AN159" s="14">
        <f t="shared" si="134"/>
        <v>37470357</v>
      </c>
      <c r="AO159" s="14">
        <f t="shared" si="134"/>
        <v>242604</v>
      </c>
      <c r="AP159" s="14">
        <f t="shared" si="134"/>
        <v>12746977</v>
      </c>
      <c r="AQ159" s="14">
        <f t="shared" si="134"/>
        <v>374707</v>
      </c>
      <c r="AR159" s="14">
        <f t="shared" si="134"/>
        <v>0</v>
      </c>
      <c r="AS159" s="633">
        <f t="shared" si="134"/>
        <v>57.578200000000002</v>
      </c>
    </row>
    <row r="160" spans="1:45" s="60" customFormat="1" ht="12.95" customHeight="1" x14ac:dyDescent="0.25">
      <c r="A160" s="236"/>
      <c r="D160" s="236"/>
      <c r="E160" s="320"/>
      <c r="F160" s="236"/>
      <c r="G160" s="238"/>
      <c r="H160" s="2">
        <v>3122</v>
      </c>
      <c r="I160" s="119">
        <f t="shared" ref="I160:AS160" si="135">SUMIF($F$12:$F$384,"=3122",I$12:I$384)</f>
        <v>0</v>
      </c>
      <c r="J160" s="14">
        <f t="shared" si="135"/>
        <v>0</v>
      </c>
      <c r="K160" s="14">
        <f t="shared" si="135"/>
        <v>0</v>
      </c>
      <c r="L160" s="14">
        <f t="shared" si="135"/>
        <v>0</v>
      </c>
      <c r="M160" s="14">
        <f t="shared" si="135"/>
        <v>0</v>
      </c>
      <c r="N160" s="14">
        <f t="shared" si="135"/>
        <v>0</v>
      </c>
      <c r="O160" s="787">
        <f t="shared" si="135"/>
        <v>0</v>
      </c>
      <c r="P160" s="120">
        <f t="shared" si="135"/>
        <v>0</v>
      </c>
      <c r="Q160" s="14">
        <f t="shared" si="135"/>
        <v>0</v>
      </c>
      <c r="R160" s="14">
        <f t="shared" si="135"/>
        <v>0</v>
      </c>
      <c r="S160" s="14">
        <f t="shared" si="135"/>
        <v>0</v>
      </c>
      <c r="T160" s="14">
        <f t="shared" si="135"/>
        <v>0</v>
      </c>
      <c r="U160" s="14">
        <f t="shared" si="135"/>
        <v>0</v>
      </c>
      <c r="V160" s="14">
        <f t="shared" si="135"/>
        <v>0</v>
      </c>
      <c r="W160" s="14">
        <f t="shared" si="135"/>
        <v>0</v>
      </c>
      <c r="X160" s="14">
        <f t="shared" si="135"/>
        <v>0</v>
      </c>
      <c r="Y160" s="14">
        <f t="shared" si="135"/>
        <v>0</v>
      </c>
      <c r="Z160" s="14">
        <f t="shared" si="135"/>
        <v>0</v>
      </c>
      <c r="AA160" s="14">
        <f t="shared" si="135"/>
        <v>0</v>
      </c>
      <c r="AB160" s="14">
        <f t="shared" si="135"/>
        <v>0</v>
      </c>
      <c r="AC160" s="14">
        <f t="shared" si="135"/>
        <v>0</v>
      </c>
      <c r="AD160" s="14">
        <f t="shared" si="135"/>
        <v>0</v>
      </c>
      <c r="AE160" s="626">
        <f t="shared" si="135"/>
        <v>0</v>
      </c>
      <c r="AF160" s="632">
        <f t="shared" si="135"/>
        <v>0</v>
      </c>
      <c r="AG160" s="11">
        <f t="shared" si="135"/>
        <v>0</v>
      </c>
      <c r="AH160" s="11">
        <f t="shared" si="135"/>
        <v>0</v>
      </c>
      <c r="AI160" s="11">
        <f t="shared" si="135"/>
        <v>0</v>
      </c>
      <c r="AJ160" s="11">
        <f t="shared" si="135"/>
        <v>0</v>
      </c>
      <c r="AK160" s="11">
        <f t="shared" si="135"/>
        <v>0</v>
      </c>
      <c r="AL160" s="633">
        <f t="shared" si="135"/>
        <v>0</v>
      </c>
      <c r="AM160" s="119">
        <f t="shared" si="135"/>
        <v>0</v>
      </c>
      <c r="AN160" s="14">
        <f t="shared" si="135"/>
        <v>0</v>
      </c>
      <c r="AO160" s="14">
        <f t="shared" si="135"/>
        <v>0</v>
      </c>
      <c r="AP160" s="14">
        <f t="shared" si="135"/>
        <v>0</v>
      </c>
      <c r="AQ160" s="14">
        <f t="shared" si="135"/>
        <v>0</v>
      </c>
      <c r="AR160" s="14">
        <f t="shared" si="135"/>
        <v>0</v>
      </c>
      <c r="AS160" s="633">
        <f t="shared" si="135"/>
        <v>0</v>
      </c>
    </row>
    <row r="161" spans="1:45" s="60" customFormat="1" ht="12.95" customHeight="1" x14ac:dyDescent="0.25">
      <c r="A161" s="236"/>
      <c r="D161" s="236"/>
      <c r="E161" s="320"/>
      <c r="F161" s="236"/>
      <c r="G161" s="238"/>
      <c r="H161" s="2">
        <v>3124</v>
      </c>
      <c r="I161" s="119">
        <f t="shared" ref="I161:AS161" si="136">SUMIF($F$12:$F$384,"=3124",I$12:I$384)</f>
        <v>0</v>
      </c>
      <c r="J161" s="14">
        <f t="shared" si="136"/>
        <v>0</v>
      </c>
      <c r="K161" s="14">
        <f t="shared" si="136"/>
        <v>0</v>
      </c>
      <c r="L161" s="14">
        <f t="shared" si="136"/>
        <v>0</v>
      </c>
      <c r="M161" s="14">
        <f t="shared" si="136"/>
        <v>0</v>
      </c>
      <c r="N161" s="14">
        <f t="shared" si="136"/>
        <v>0</v>
      </c>
      <c r="O161" s="787">
        <f t="shared" si="136"/>
        <v>0</v>
      </c>
      <c r="P161" s="120">
        <f t="shared" si="136"/>
        <v>0</v>
      </c>
      <c r="Q161" s="14">
        <f t="shared" si="136"/>
        <v>0</v>
      </c>
      <c r="R161" s="14">
        <f t="shared" si="136"/>
        <v>0</v>
      </c>
      <c r="S161" s="14">
        <f t="shared" si="136"/>
        <v>0</v>
      </c>
      <c r="T161" s="14">
        <f t="shared" si="136"/>
        <v>0</v>
      </c>
      <c r="U161" s="14">
        <f t="shared" si="136"/>
        <v>0</v>
      </c>
      <c r="V161" s="14">
        <f t="shared" si="136"/>
        <v>0</v>
      </c>
      <c r="W161" s="14">
        <f t="shared" si="136"/>
        <v>0</v>
      </c>
      <c r="X161" s="14">
        <f t="shared" si="136"/>
        <v>0</v>
      </c>
      <c r="Y161" s="14">
        <f t="shared" si="136"/>
        <v>0</v>
      </c>
      <c r="Z161" s="14">
        <f t="shared" si="136"/>
        <v>0</v>
      </c>
      <c r="AA161" s="14">
        <f t="shared" si="136"/>
        <v>0</v>
      </c>
      <c r="AB161" s="14">
        <f t="shared" si="136"/>
        <v>0</v>
      </c>
      <c r="AC161" s="14">
        <f t="shared" si="136"/>
        <v>0</v>
      </c>
      <c r="AD161" s="14">
        <f t="shared" si="136"/>
        <v>0</v>
      </c>
      <c r="AE161" s="626">
        <f t="shared" si="136"/>
        <v>0</v>
      </c>
      <c r="AF161" s="632">
        <f t="shared" si="136"/>
        <v>0</v>
      </c>
      <c r="AG161" s="11">
        <f t="shared" si="136"/>
        <v>0</v>
      </c>
      <c r="AH161" s="11">
        <f t="shared" si="136"/>
        <v>0</v>
      </c>
      <c r="AI161" s="11">
        <f t="shared" si="136"/>
        <v>0</v>
      </c>
      <c r="AJ161" s="11">
        <f t="shared" si="136"/>
        <v>0</v>
      </c>
      <c r="AK161" s="11">
        <f t="shared" si="136"/>
        <v>0</v>
      </c>
      <c r="AL161" s="633">
        <f t="shared" si="136"/>
        <v>0</v>
      </c>
      <c r="AM161" s="119">
        <f t="shared" si="136"/>
        <v>0</v>
      </c>
      <c r="AN161" s="14">
        <f t="shared" si="136"/>
        <v>0</v>
      </c>
      <c r="AO161" s="14">
        <f t="shared" si="136"/>
        <v>0</v>
      </c>
      <c r="AP161" s="14">
        <f t="shared" si="136"/>
        <v>0</v>
      </c>
      <c r="AQ161" s="14">
        <f t="shared" si="136"/>
        <v>0</v>
      </c>
      <c r="AR161" s="14">
        <f t="shared" si="136"/>
        <v>0</v>
      </c>
      <c r="AS161" s="633">
        <f t="shared" si="136"/>
        <v>0</v>
      </c>
    </row>
    <row r="162" spans="1:45" s="60" customFormat="1" ht="12.95" customHeight="1" x14ac:dyDescent="0.25">
      <c r="A162" s="236"/>
      <c r="D162" s="236"/>
      <c r="E162" s="320"/>
      <c r="F162" s="236"/>
      <c r="G162" s="238"/>
      <c r="H162" s="2">
        <v>3141</v>
      </c>
      <c r="I162" s="119">
        <f t="shared" ref="I162:AS162" si="137">SUMIF($F$12:$F$384,"=3141",I$12:I$384)</f>
        <v>0</v>
      </c>
      <c r="J162" s="14">
        <f t="shared" si="137"/>
        <v>0</v>
      </c>
      <c r="K162" s="14">
        <f t="shared" si="137"/>
        <v>0</v>
      </c>
      <c r="L162" s="14">
        <f t="shared" si="137"/>
        <v>0</v>
      </c>
      <c r="M162" s="14">
        <f t="shared" si="137"/>
        <v>0</v>
      </c>
      <c r="N162" s="14">
        <f t="shared" si="137"/>
        <v>0</v>
      </c>
      <c r="O162" s="787">
        <f t="shared" si="137"/>
        <v>0</v>
      </c>
      <c r="P162" s="120">
        <f t="shared" si="137"/>
        <v>0</v>
      </c>
      <c r="Q162" s="14">
        <f t="shared" si="137"/>
        <v>0</v>
      </c>
      <c r="R162" s="14">
        <f t="shared" si="137"/>
        <v>0</v>
      </c>
      <c r="S162" s="14">
        <f t="shared" si="137"/>
        <v>0</v>
      </c>
      <c r="T162" s="14">
        <f t="shared" si="137"/>
        <v>0</v>
      </c>
      <c r="U162" s="14">
        <f t="shared" si="137"/>
        <v>0</v>
      </c>
      <c r="V162" s="14">
        <f t="shared" si="137"/>
        <v>0</v>
      </c>
      <c r="W162" s="14">
        <f t="shared" si="137"/>
        <v>0</v>
      </c>
      <c r="X162" s="14">
        <f t="shared" si="137"/>
        <v>0</v>
      </c>
      <c r="Y162" s="14">
        <f t="shared" si="137"/>
        <v>0</v>
      </c>
      <c r="Z162" s="14">
        <f t="shared" si="137"/>
        <v>0</v>
      </c>
      <c r="AA162" s="14">
        <f t="shared" si="137"/>
        <v>0</v>
      </c>
      <c r="AB162" s="14">
        <f t="shared" si="137"/>
        <v>0</v>
      </c>
      <c r="AC162" s="14">
        <f t="shared" si="137"/>
        <v>0</v>
      </c>
      <c r="AD162" s="14">
        <f t="shared" si="137"/>
        <v>0</v>
      </c>
      <c r="AE162" s="626">
        <f t="shared" si="137"/>
        <v>0</v>
      </c>
      <c r="AF162" s="632">
        <f t="shared" si="137"/>
        <v>0</v>
      </c>
      <c r="AG162" s="11">
        <f t="shared" si="137"/>
        <v>0</v>
      </c>
      <c r="AH162" s="11">
        <f t="shared" si="137"/>
        <v>0</v>
      </c>
      <c r="AI162" s="11">
        <f t="shared" si="137"/>
        <v>0</v>
      </c>
      <c r="AJ162" s="11">
        <f t="shared" si="137"/>
        <v>0</v>
      </c>
      <c r="AK162" s="11">
        <f t="shared" si="137"/>
        <v>0</v>
      </c>
      <c r="AL162" s="633">
        <f t="shared" si="137"/>
        <v>0</v>
      </c>
      <c r="AM162" s="119">
        <f t="shared" si="137"/>
        <v>0</v>
      </c>
      <c r="AN162" s="14">
        <f t="shared" si="137"/>
        <v>0</v>
      </c>
      <c r="AO162" s="14">
        <f t="shared" si="137"/>
        <v>0</v>
      </c>
      <c r="AP162" s="14">
        <f t="shared" si="137"/>
        <v>0</v>
      </c>
      <c r="AQ162" s="14">
        <f t="shared" si="137"/>
        <v>0</v>
      </c>
      <c r="AR162" s="14">
        <f t="shared" si="137"/>
        <v>0</v>
      </c>
      <c r="AS162" s="633">
        <f t="shared" si="137"/>
        <v>0</v>
      </c>
    </row>
    <row r="163" spans="1:45" s="60" customFormat="1" ht="12.95" customHeight="1" x14ac:dyDescent="0.25">
      <c r="A163" s="236"/>
      <c r="D163" s="236"/>
      <c r="E163" s="320"/>
      <c r="F163" s="236"/>
      <c r="G163" s="238"/>
      <c r="H163" s="2">
        <v>3143</v>
      </c>
      <c r="I163" s="119">
        <f t="shared" ref="I163:AS163" si="138">SUMIF($F$12:$F$384,"=3143",I$12:I$384)</f>
        <v>30555387</v>
      </c>
      <c r="J163" s="14">
        <f t="shared" si="138"/>
        <v>22609672</v>
      </c>
      <c r="K163" s="14">
        <f t="shared" si="138"/>
        <v>57960</v>
      </c>
      <c r="L163" s="14">
        <f t="shared" si="138"/>
        <v>7661662</v>
      </c>
      <c r="M163" s="14">
        <f t="shared" si="138"/>
        <v>226093</v>
      </c>
      <c r="N163" s="14">
        <f t="shared" si="138"/>
        <v>0</v>
      </c>
      <c r="O163" s="787">
        <f t="shared" si="138"/>
        <v>42.821099999999994</v>
      </c>
      <c r="P163" s="120">
        <f t="shared" si="138"/>
        <v>-38640</v>
      </c>
      <c r="Q163" s="14">
        <f t="shared" si="138"/>
        <v>0</v>
      </c>
      <c r="R163" s="14">
        <f t="shared" si="138"/>
        <v>0</v>
      </c>
      <c r="S163" s="14">
        <f t="shared" si="138"/>
        <v>0</v>
      </c>
      <c r="T163" s="14">
        <f t="shared" si="138"/>
        <v>0</v>
      </c>
      <c r="U163" s="14">
        <f t="shared" si="138"/>
        <v>0</v>
      </c>
      <c r="V163" s="14">
        <f t="shared" si="138"/>
        <v>-38640</v>
      </c>
      <c r="W163" s="14">
        <f t="shared" si="138"/>
        <v>38640</v>
      </c>
      <c r="X163" s="14">
        <f t="shared" si="138"/>
        <v>0</v>
      </c>
      <c r="Y163" s="14">
        <f t="shared" si="138"/>
        <v>0</v>
      </c>
      <c r="Z163" s="14">
        <f t="shared" si="138"/>
        <v>38640</v>
      </c>
      <c r="AA163" s="14">
        <f t="shared" si="138"/>
        <v>0</v>
      </c>
      <c r="AB163" s="14">
        <f t="shared" si="138"/>
        <v>0</v>
      </c>
      <c r="AC163" s="14">
        <f t="shared" si="138"/>
        <v>-386</v>
      </c>
      <c r="AD163" s="14">
        <f t="shared" si="138"/>
        <v>0</v>
      </c>
      <c r="AE163" s="626">
        <f t="shared" si="138"/>
        <v>-386</v>
      </c>
      <c r="AF163" s="632">
        <f t="shared" si="138"/>
        <v>0</v>
      </c>
      <c r="AG163" s="11">
        <f t="shared" si="138"/>
        <v>0</v>
      </c>
      <c r="AH163" s="11">
        <f t="shared" si="138"/>
        <v>0</v>
      </c>
      <c r="AI163" s="11">
        <f t="shared" si="138"/>
        <v>0</v>
      </c>
      <c r="AJ163" s="11">
        <f t="shared" si="138"/>
        <v>0</v>
      </c>
      <c r="AK163" s="11">
        <f t="shared" si="138"/>
        <v>0</v>
      </c>
      <c r="AL163" s="633">
        <f t="shared" si="138"/>
        <v>0</v>
      </c>
      <c r="AM163" s="119">
        <f t="shared" si="138"/>
        <v>30555001</v>
      </c>
      <c r="AN163" s="14">
        <f t="shared" si="138"/>
        <v>22571032</v>
      </c>
      <c r="AO163" s="14">
        <f t="shared" si="138"/>
        <v>96600</v>
      </c>
      <c r="AP163" s="14">
        <f t="shared" si="138"/>
        <v>7661662</v>
      </c>
      <c r="AQ163" s="14">
        <f t="shared" si="138"/>
        <v>225707</v>
      </c>
      <c r="AR163" s="14">
        <f t="shared" si="138"/>
        <v>0</v>
      </c>
      <c r="AS163" s="633">
        <f t="shared" si="138"/>
        <v>42.821099999999994</v>
      </c>
    </row>
    <row r="164" spans="1:45" s="60" customFormat="1" ht="12.95" customHeight="1" x14ac:dyDescent="0.25">
      <c r="A164" s="236"/>
      <c r="D164" s="236"/>
      <c r="E164" s="320"/>
      <c r="F164" s="236"/>
      <c r="G164" s="238"/>
      <c r="H164" s="2">
        <v>3231</v>
      </c>
      <c r="I164" s="119">
        <f t="shared" ref="I164:AS164" si="139">SUMIF($F$12:$F$384,"=3231",I$12:I$384)</f>
        <v>24703502</v>
      </c>
      <c r="J164" s="14">
        <f t="shared" si="139"/>
        <v>18326040</v>
      </c>
      <c r="K164" s="14">
        <f t="shared" si="139"/>
        <v>0</v>
      </c>
      <c r="L164" s="14">
        <f t="shared" si="139"/>
        <v>6194202</v>
      </c>
      <c r="M164" s="14">
        <f t="shared" si="139"/>
        <v>183260</v>
      </c>
      <c r="N164" s="14">
        <f t="shared" si="139"/>
        <v>0</v>
      </c>
      <c r="O164" s="787">
        <f t="shared" si="139"/>
        <v>27.5275</v>
      </c>
      <c r="P164" s="120">
        <f t="shared" si="139"/>
        <v>0</v>
      </c>
      <c r="Q164" s="14">
        <f t="shared" si="139"/>
        <v>0</v>
      </c>
      <c r="R164" s="14">
        <f t="shared" si="139"/>
        <v>0</v>
      </c>
      <c r="S164" s="14">
        <f t="shared" si="139"/>
        <v>0</v>
      </c>
      <c r="T164" s="14">
        <f t="shared" si="139"/>
        <v>0</v>
      </c>
      <c r="U164" s="14">
        <f t="shared" si="139"/>
        <v>0</v>
      </c>
      <c r="V164" s="14">
        <f t="shared" si="139"/>
        <v>0</v>
      </c>
      <c r="W164" s="14">
        <f t="shared" si="139"/>
        <v>0</v>
      </c>
      <c r="X164" s="14">
        <f t="shared" si="139"/>
        <v>0</v>
      </c>
      <c r="Y164" s="14">
        <f t="shared" si="139"/>
        <v>0</v>
      </c>
      <c r="Z164" s="14">
        <f t="shared" si="139"/>
        <v>0</v>
      </c>
      <c r="AA164" s="14">
        <f t="shared" si="139"/>
        <v>0</v>
      </c>
      <c r="AB164" s="14">
        <f t="shared" si="139"/>
        <v>0</v>
      </c>
      <c r="AC164" s="14">
        <f t="shared" si="139"/>
        <v>0</v>
      </c>
      <c r="AD164" s="14">
        <f t="shared" si="139"/>
        <v>0</v>
      </c>
      <c r="AE164" s="626">
        <f t="shared" si="139"/>
        <v>0</v>
      </c>
      <c r="AF164" s="632">
        <f t="shared" si="139"/>
        <v>0</v>
      </c>
      <c r="AG164" s="11">
        <f t="shared" si="139"/>
        <v>0</v>
      </c>
      <c r="AH164" s="11">
        <f t="shared" si="139"/>
        <v>0</v>
      </c>
      <c r="AI164" s="11">
        <f t="shared" si="139"/>
        <v>0</v>
      </c>
      <c r="AJ164" s="11">
        <f t="shared" si="139"/>
        <v>0</v>
      </c>
      <c r="AK164" s="11">
        <f t="shared" si="139"/>
        <v>0</v>
      </c>
      <c r="AL164" s="633">
        <f t="shared" si="139"/>
        <v>0</v>
      </c>
      <c r="AM164" s="119">
        <f t="shared" si="139"/>
        <v>24703502</v>
      </c>
      <c r="AN164" s="14">
        <f t="shared" si="139"/>
        <v>18326040</v>
      </c>
      <c r="AO164" s="14">
        <f t="shared" si="139"/>
        <v>0</v>
      </c>
      <c r="AP164" s="14">
        <f t="shared" si="139"/>
        <v>6194202</v>
      </c>
      <c r="AQ164" s="14">
        <f t="shared" si="139"/>
        <v>183260</v>
      </c>
      <c r="AR164" s="14">
        <f t="shared" si="139"/>
        <v>0</v>
      </c>
      <c r="AS164" s="633">
        <f t="shared" si="139"/>
        <v>27.5275</v>
      </c>
    </row>
    <row r="165" spans="1:45" s="60" customFormat="1" ht="12.95" customHeight="1" thickBot="1" x14ac:dyDescent="0.3">
      <c r="A165" s="236"/>
      <c r="D165" s="236"/>
      <c r="E165" s="320"/>
      <c r="F165" s="236"/>
      <c r="G165" s="238"/>
      <c r="H165" s="103">
        <v>3233</v>
      </c>
      <c r="I165" s="122">
        <f t="shared" ref="I165:AS165" si="140">SUMIF($F$12:$F$384,"=3233",I$12:I$384)</f>
        <v>3917257</v>
      </c>
      <c r="J165" s="123">
        <f t="shared" si="140"/>
        <v>2861311</v>
      </c>
      <c r="K165" s="123">
        <f t="shared" si="140"/>
        <v>45000</v>
      </c>
      <c r="L165" s="123">
        <f t="shared" si="140"/>
        <v>982333</v>
      </c>
      <c r="M165" s="123">
        <f t="shared" si="140"/>
        <v>28613</v>
      </c>
      <c r="N165" s="123">
        <f t="shared" si="140"/>
        <v>0</v>
      </c>
      <c r="O165" s="788">
        <f t="shared" si="140"/>
        <v>4.84</v>
      </c>
      <c r="P165" s="125">
        <f t="shared" si="140"/>
        <v>-30000</v>
      </c>
      <c r="Q165" s="123">
        <f t="shared" si="140"/>
        <v>0</v>
      </c>
      <c r="R165" s="123">
        <f t="shared" si="140"/>
        <v>0</v>
      </c>
      <c r="S165" s="123">
        <f t="shared" si="140"/>
        <v>0</v>
      </c>
      <c r="T165" s="123">
        <f t="shared" si="140"/>
        <v>0</v>
      </c>
      <c r="U165" s="123">
        <f t="shared" si="140"/>
        <v>0</v>
      </c>
      <c r="V165" s="123">
        <f t="shared" si="140"/>
        <v>-30000</v>
      </c>
      <c r="W165" s="123">
        <f t="shared" si="140"/>
        <v>30000</v>
      </c>
      <c r="X165" s="123">
        <f t="shared" si="140"/>
        <v>0</v>
      </c>
      <c r="Y165" s="123">
        <f t="shared" si="140"/>
        <v>0</v>
      </c>
      <c r="Z165" s="123">
        <f t="shared" si="140"/>
        <v>30000</v>
      </c>
      <c r="AA165" s="123">
        <f t="shared" si="140"/>
        <v>0</v>
      </c>
      <c r="AB165" s="123">
        <f t="shared" si="140"/>
        <v>0</v>
      </c>
      <c r="AC165" s="123">
        <f t="shared" si="140"/>
        <v>-300</v>
      </c>
      <c r="AD165" s="123">
        <f t="shared" si="140"/>
        <v>0</v>
      </c>
      <c r="AE165" s="627">
        <f t="shared" si="140"/>
        <v>-300</v>
      </c>
      <c r="AF165" s="634">
        <f t="shared" si="140"/>
        <v>0.08</v>
      </c>
      <c r="AG165" s="124">
        <f t="shared" si="140"/>
        <v>0</v>
      </c>
      <c r="AH165" s="124">
        <f t="shared" si="140"/>
        <v>0</v>
      </c>
      <c r="AI165" s="124">
        <f t="shared" si="140"/>
        <v>0</v>
      </c>
      <c r="AJ165" s="124">
        <f t="shared" si="140"/>
        <v>0</v>
      </c>
      <c r="AK165" s="124">
        <f t="shared" si="140"/>
        <v>0</v>
      </c>
      <c r="AL165" s="635">
        <f t="shared" si="140"/>
        <v>0.08</v>
      </c>
      <c r="AM165" s="122">
        <f t="shared" si="140"/>
        <v>3916957</v>
      </c>
      <c r="AN165" s="123">
        <f t="shared" si="140"/>
        <v>2831311</v>
      </c>
      <c r="AO165" s="123">
        <f t="shared" si="140"/>
        <v>75000</v>
      </c>
      <c r="AP165" s="123">
        <f t="shared" si="140"/>
        <v>982333</v>
      </c>
      <c r="AQ165" s="123">
        <f t="shared" si="140"/>
        <v>28313</v>
      </c>
      <c r="AR165" s="123">
        <f t="shared" si="140"/>
        <v>0</v>
      </c>
      <c r="AS165" s="635">
        <f t="shared" si="140"/>
        <v>4.92</v>
      </c>
    </row>
    <row r="166" spans="1:45" s="239" customFormat="1" ht="12.95" customHeight="1" x14ac:dyDescent="0.25">
      <c r="A166" s="318"/>
      <c r="B166" s="175"/>
      <c r="C166" s="175"/>
      <c r="D166" s="175"/>
      <c r="E166" s="175"/>
      <c r="F166" s="175"/>
      <c r="G166" s="175"/>
      <c r="H166" s="319"/>
      <c r="O166" s="701"/>
      <c r="T166" s="464"/>
      <c r="AA166" s="240"/>
      <c r="AB166" s="240"/>
      <c r="AF166" s="240"/>
      <c r="AG166" s="240"/>
      <c r="AH166" s="240"/>
      <c r="AI166" s="240"/>
      <c r="AJ166" s="463"/>
      <c r="AK166" s="240"/>
      <c r="AL166" s="240"/>
      <c r="AM166" s="240"/>
      <c r="AN166" s="240"/>
      <c r="AO166" s="240"/>
      <c r="AP166" s="240"/>
      <c r="AQ166" s="240"/>
      <c r="AR166" s="240"/>
      <c r="AS166" s="240"/>
    </row>
    <row r="167" spans="1:45" s="239" customFormat="1" ht="12.95" customHeight="1" x14ac:dyDescent="0.25">
      <c r="A167" s="318"/>
      <c r="B167" s="175"/>
      <c r="C167" s="175"/>
      <c r="D167" s="175"/>
      <c r="E167" s="175"/>
      <c r="F167" s="234"/>
      <c r="G167" s="175"/>
      <c r="H167" s="319"/>
      <c r="O167" s="701"/>
      <c r="T167" s="464"/>
      <c r="AA167" s="240"/>
      <c r="AB167" s="240"/>
      <c r="AF167" s="240"/>
      <c r="AG167" s="240"/>
      <c r="AH167" s="240"/>
      <c r="AI167" s="240"/>
      <c r="AJ167" s="463"/>
      <c r="AK167" s="240"/>
      <c r="AL167" s="240"/>
      <c r="AM167" s="240"/>
      <c r="AN167" s="240"/>
      <c r="AO167" s="240"/>
      <c r="AP167" s="240"/>
      <c r="AQ167" s="240"/>
      <c r="AR167" s="240"/>
      <c r="AS167" s="240"/>
    </row>
    <row r="168" spans="1:45" s="239" customFormat="1" ht="12.95" customHeight="1" x14ac:dyDescent="0.25">
      <c r="A168" s="318"/>
      <c r="B168" s="175"/>
      <c r="C168" s="175"/>
      <c r="D168" s="175"/>
      <c r="E168" s="175"/>
      <c r="F168" s="234"/>
      <c r="G168" s="175"/>
      <c r="H168" s="319"/>
      <c r="O168" s="701"/>
      <c r="T168" s="464"/>
      <c r="AA168" s="240"/>
      <c r="AB168" s="240"/>
      <c r="AF168" s="240"/>
      <c r="AG168" s="240"/>
      <c r="AH168" s="240"/>
      <c r="AI168" s="240"/>
      <c r="AJ168" s="463"/>
      <c r="AK168" s="240"/>
      <c r="AL168" s="240"/>
      <c r="AM168" s="240"/>
      <c r="AN168" s="240"/>
      <c r="AO168" s="240"/>
      <c r="AP168" s="240"/>
      <c r="AQ168" s="240"/>
      <c r="AR168" s="240"/>
      <c r="AS168" s="240"/>
    </row>
    <row r="169" spans="1:45" s="239" customFormat="1" x14ac:dyDescent="0.25">
      <c r="A169" s="318"/>
      <c r="B169" s="175"/>
      <c r="C169" s="175"/>
      <c r="D169" s="175"/>
      <c r="E169" s="175"/>
      <c r="F169" s="234"/>
      <c r="G169" s="175"/>
      <c r="H169" s="319"/>
      <c r="O169" s="701"/>
      <c r="T169" s="464"/>
      <c r="AA169" s="240"/>
      <c r="AB169" s="240"/>
      <c r="AF169" s="240"/>
      <c r="AG169" s="240"/>
      <c r="AH169" s="240"/>
      <c r="AI169" s="240"/>
      <c r="AJ169" s="463"/>
      <c r="AK169" s="240"/>
      <c r="AL169" s="240"/>
      <c r="AM169" s="240"/>
      <c r="AN169" s="240"/>
      <c r="AO169" s="240"/>
      <c r="AP169" s="240"/>
      <c r="AQ169" s="240"/>
      <c r="AR169" s="240"/>
      <c r="AS169" s="240"/>
    </row>
    <row r="170" spans="1:45" s="239" customFormat="1" x14ac:dyDescent="0.25">
      <c r="A170" s="318"/>
      <c r="B170" s="175"/>
      <c r="C170" s="175"/>
      <c r="D170" s="175"/>
      <c r="E170" s="175"/>
      <c r="F170" s="234"/>
      <c r="G170" s="175"/>
      <c r="H170" s="319"/>
      <c r="O170" s="701"/>
      <c r="T170" s="464"/>
      <c r="AA170" s="240"/>
      <c r="AB170" s="240"/>
      <c r="AF170" s="240"/>
      <c r="AG170" s="240"/>
      <c r="AH170" s="240"/>
      <c r="AI170" s="240"/>
      <c r="AJ170" s="463"/>
      <c r="AK170" s="240"/>
      <c r="AL170" s="240"/>
      <c r="AM170" s="240"/>
      <c r="AN170" s="240"/>
      <c r="AO170" s="240"/>
      <c r="AP170" s="240"/>
      <c r="AQ170" s="240"/>
      <c r="AR170" s="240"/>
      <c r="AS170" s="240"/>
    </row>
    <row r="171" spans="1:45" s="239" customFormat="1" x14ac:dyDescent="0.25">
      <c r="A171" s="318"/>
      <c r="B171" s="175"/>
      <c r="C171" s="175"/>
      <c r="D171" s="175"/>
      <c r="E171" s="175"/>
      <c r="F171" s="234"/>
      <c r="G171" s="175"/>
      <c r="H171" s="319"/>
      <c r="O171" s="701"/>
      <c r="T171" s="464"/>
      <c r="AA171" s="240"/>
      <c r="AB171" s="240"/>
      <c r="AF171" s="240"/>
      <c r="AG171" s="240"/>
      <c r="AH171" s="240"/>
      <c r="AI171" s="240"/>
      <c r="AJ171" s="463"/>
      <c r="AK171" s="240"/>
      <c r="AL171" s="240"/>
      <c r="AM171" s="240"/>
      <c r="AN171" s="240"/>
      <c r="AO171" s="240"/>
      <c r="AP171" s="240"/>
      <c r="AQ171" s="240"/>
      <c r="AR171" s="240"/>
      <c r="AS171" s="240"/>
    </row>
    <row r="172" spans="1:45" s="239" customFormat="1" x14ac:dyDescent="0.25">
      <c r="A172" s="318"/>
      <c r="B172" s="175"/>
      <c r="C172" s="175"/>
      <c r="D172" s="175"/>
      <c r="E172" s="175"/>
      <c r="F172" s="234"/>
      <c r="G172" s="175"/>
      <c r="H172" s="319"/>
      <c r="O172" s="701"/>
      <c r="T172" s="464"/>
      <c r="AA172" s="240"/>
      <c r="AB172" s="240"/>
      <c r="AF172" s="240"/>
      <c r="AG172" s="240"/>
      <c r="AH172" s="240"/>
      <c r="AI172" s="240"/>
      <c r="AJ172" s="463"/>
      <c r="AK172" s="240"/>
      <c r="AL172" s="240"/>
      <c r="AM172" s="240"/>
      <c r="AN172" s="240"/>
      <c r="AO172" s="240"/>
      <c r="AP172" s="240"/>
      <c r="AQ172" s="240"/>
      <c r="AR172" s="240"/>
      <c r="AS172" s="240"/>
    </row>
  </sheetData>
  <mergeCells count="46">
    <mergeCell ref="A3:E3"/>
    <mergeCell ref="I8:I10"/>
    <mergeCell ref="I6:O7"/>
    <mergeCell ref="Z9:Z10"/>
    <mergeCell ref="P6:AL6"/>
    <mergeCell ref="V9:V10"/>
    <mergeCell ref="X9:X10"/>
    <mergeCell ref="R9:R10"/>
    <mergeCell ref="AF7:AL7"/>
    <mergeCell ref="M9:M10"/>
    <mergeCell ref="AE7:AE10"/>
    <mergeCell ref="Q9:Q10"/>
    <mergeCell ref="P7:V8"/>
    <mergeCell ref="W7:Z8"/>
    <mergeCell ref="AJ8:AJ10"/>
    <mergeCell ref="AK8:AK10"/>
    <mergeCell ref="AL8:AL10"/>
    <mergeCell ref="AB7:AB10"/>
    <mergeCell ref="AC7:AC10"/>
    <mergeCell ref="AH8:AH10"/>
    <mergeCell ref="AI8:AI10"/>
    <mergeCell ref="AD7:AD10"/>
    <mergeCell ref="AF8:AF10"/>
    <mergeCell ref="AG8:AG10"/>
    <mergeCell ref="AM6:AS7"/>
    <mergeCell ref="AO9:AO10"/>
    <mergeCell ref="AS8:AS10"/>
    <mergeCell ref="AN9:AN10"/>
    <mergeCell ref="AP9:AP10"/>
    <mergeCell ref="AQ9:AQ10"/>
    <mergeCell ref="AM8:AM10"/>
    <mergeCell ref="AR9:AR10"/>
    <mergeCell ref="AN8:AQ8"/>
    <mergeCell ref="N9:N10"/>
    <mergeCell ref="O8:O10"/>
    <mergeCell ref="J9:J10"/>
    <mergeCell ref="L9:L10"/>
    <mergeCell ref="J8:M8"/>
    <mergeCell ref="K9:K10"/>
    <mergeCell ref="AA7:AA10"/>
    <mergeCell ref="P9:P10"/>
    <mergeCell ref="S9:S10"/>
    <mergeCell ref="U9:U10"/>
    <mergeCell ref="W9:W10"/>
    <mergeCell ref="Y9:Y10"/>
    <mergeCell ref="T9:T10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fitToPage="1"/>
  </sheetPr>
  <dimension ref="A1:AL37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H19" sqref="AH19"/>
    </sheetView>
  </sheetViews>
  <sheetFormatPr defaultRowHeight="12.75" x14ac:dyDescent="0.2"/>
  <cols>
    <col min="1" max="1" width="7.85546875" style="18" customWidth="1"/>
    <col min="2" max="2" width="12.5703125" style="7" customWidth="1"/>
    <col min="3" max="3" width="12.140625" style="7" customWidth="1"/>
    <col min="4" max="4" width="10.85546875" style="7" customWidth="1"/>
    <col min="5" max="5" width="11.85546875" style="7" customWidth="1"/>
    <col min="6" max="6" width="12.5703125" style="7" customWidth="1"/>
    <col min="7" max="7" width="10.42578125" style="7" customWidth="1"/>
    <col min="8" max="8" width="10.42578125" style="6" customWidth="1"/>
    <col min="9" max="9" width="9.140625" style="7"/>
    <col min="10" max="10" width="9.42578125" style="7" customWidth="1"/>
    <col min="11" max="11" width="9.140625" style="7"/>
    <col min="12" max="12" width="10.5703125" style="7" customWidth="1"/>
    <col min="13" max="13" width="10" style="7" customWidth="1"/>
    <col min="14" max="14" width="11" style="7" customWidth="1"/>
    <col min="15" max="15" width="9.5703125" style="7" customWidth="1"/>
    <col min="16" max="19" width="9.140625" style="7"/>
    <col min="20" max="20" width="10.140625" style="7" customWidth="1"/>
    <col min="21" max="21" width="9.85546875" style="7" customWidth="1"/>
    <col min="22" max="22" width="9.140625" style="7"/>
    <col min="23" max="23" width="11.42578125" style="7" customWidth="1"/>
    <col min="24" max="24" width="9.28515625" style="7" customWidth="1"/>
    <col min="25" max="25" width="9.140625" style="6"/>
    <col min="26" max="26" width="10.28515625" style="6" customWidth="1"/>
    <col min="27" max="27" width="9.7109375" style="6" customWidth="1"/>
    <col min="28" max="28" width="9.140625" style="6"/>
    <col min="29" max="29" width="10.140625" style="6" customWidth="1"/>
    <col min="30" max="30" width="9.85546875" style="6" customWidth="1"/>
    <col min="31" max="31" width="9.140625" style="6"/>
    <col min="32" max="32" width="12.5703125" style="7" customWidth="1"/>
    <col min="33" max="37" width="10.85546875" style="7" customWidth="1"/>
    <col min="38" max="38" width="10.85546875" style="6" customWidth="1"/>
    <col min="240" max="240" width="7.42578125" customWidth="1"/>
    <col min="241" max="242" width="10.85546875" bestFit="1" customWidth="1"/>
    <col min="243" max="244" width="10.85546875" customWidth="1"/>
    <col min="245" max="249" width="10" customWidth="1"/>
    <col min="253" max="254" width="10.85546875" bestFit="1" customWidth="1"/>
    <col min="255" max="255" width="10" bestFit="1" customWidth="1"/>
    <col min="256" max="257" width="9.28515625" bestFit="1" customWidth="1"/>
    <col min="496" max="496" width="7.42578125" customWidth="1"/>
    <col min="497" max="498" width="10.85546875" bestFit="1" customWidth="1"/>
    <col min="499" max="500" width="10.85546875" customWidth="1"/>
    <col min="501" max="505" width="10" customWidth="1"/>
    <col min="509" max="510" width="10.85546875" bestFit="1" customWidth="1"/>
    <col min="511" max="511" width="10" bestFit="1" customWidth="1"/>
    <col min="512" max="513" width="9.28515625" bestFit="1" customWidth="1"/>
    <col min="752" max="752" width="7.42578125" customWidth="1"/>
    <col min="753" max="754" width="10.85546875" bestFit="1" customWidth="1"/>
    <col min="755" max="756" width="10.85546875" customWidth="1"/>
    <col min="757" max="761" width="10" customWidth="1"/>
    <col min="765" max="766" width="10.85546875" bestFit="1" customWidth="1"/>
    <col min="767" max="767" width="10" bestFit="1" customWidth="1"/>
    <col min="768" max="769" width="9.28515625" bestFit="1" customWidth="1"/>
    <col min="1008" max="1008" width="7.42578125" customWidth="1"/>
    <col min="1009" max="1010" width="10.85546875" bestFit="1" customWidth="1"/>
    <col min="1011" max="1012" width="10.85546875" customWidth="1"/>
    <col min="1013" max="1017" width="10" customWidth="1"/>
    <col min="1021" max="1022" width="10.85546875" bestFit="1" customWidth="1"/>
    <col min="1023" max="1023" width="10" bestFit="1" customWidth="1"/>
    <col min="1024" max="1025" width="9.28515625" bestFit="1" customWidth="1"/>
    <col min="1264" max="1264" width="7.42578125" customWidth="1"/>
    <col min="1265" max="1266" width="10.85546875" bestFit="1" customWidth="1"/>
    <col min="1267" max="1268" width="10.85546875" customWidth="1"/>
    <col min="1269" max="1273" width="10" customWidth="1"/>
    <col min="1277" max="1278" width="10.85546875" bestFit="1" customWidth="1"/>
    <col min="1279" max="1279" width="10" bestFit="1" customWidth="1"/>
    <col min="1280" max="1281" width="9.28515625" bestFit="1" customWidth="1"/>
    <col min="1520" max="1520" width="7.42578125" customWidth="1"/>
    <col min="1521" max="1522" width="10.85546875" bestFit="1" customWidth="1"/>
    <col min="1523" max="1524" width="10.85546875" customWidth="1"/>
    <col min="1525" max="1529" width="10" customWidth="1"/>
    <col min="1533" max="1534" width="10.85546875" bestFit="1" customWidth="1"/>
    <col min="1535" max="1535" width="10" bestFit="1" customWidth="1"/>
    <col min="1536" max="1537" width="9.28515625" bestFit="1" customWidth="1"/>
    <col min="1776" max="1776" width="7.42578125" customWidth="1"/>
    <col min="1777" max="1778" width="10.85546875" bestFit="1" customWidth="1"/>
    <col min="1779" max="1780" width="10.85546875" customWidth="1"/>
    <col min="1781" max="1785" width="10" customWidth="1"/>
    <col min="1789" max="1790" width="10.85546875" bestFit="1" customWidth="1"/>
    <col min="1791" max="1791" width="10" bestFit="1" customWidth="1"/>
    <col min="1792" max="1793" width="9.28515625" bestFit="1" customWidth="1"/>
    <col min="2032" max="2032" width="7.42578125" customWidth="1"/>
    <col min="2033" max="2034" width="10.85546875" bestFit="1" customWidth="1"/>
    <col min="2035" max="2036" width="10.85546875" customWidth="1"/>
    <col min="2037" max="2041" width="10" customWidth="1"/>
    <col min="2045" max="2046" width="10.85546875" bestFit="1" customWidth="1"/>
    <col min="2047" max="2047" width="10" bestFit="1" customWidth="1"/>
    <col min="2048" max="2049" width="9.28515625" bestFit="1" customWidth="1"/>
    <col min="2288" max="2288" width="7.42578125" customWidth="1"/>
    <col min="2289" max="2290" width="10.85546875" bestFit="1" customWidth="1"/>
    <col min="2291" max="2292" width="10.85546875" customWidth="1"/>
    <col min="2293" max="2297" width="10" customWidth="1"/>
    <col min="2301" max="2302" width="10.85546875" bestFit="1" customWidth="1"/>
    <col min="2303" max="2303" width="10" bestFit="1" customWidth="1"/>
    <col min="2304" max="2305" width="9.28515625" bestFit="1" customWidth="1"/>
    <col min="2544" max="2544" width="7.42578125" customWidth="1"/>
    <col min="2545" max="2546" width="10.85546875" bestFit="1" customWidth="1"/>
    <col min="2547" max="2548" width="10.85546875" customWidth="1"/>
    <col min="2549" max="2553" width="10" customWidth="1"/>
    <col min="2557" max="2558" width="10.85546875" bestFit="1" customWidth="1"/>
    <col min="2559" max="2559" width="10" bestFit="1" customWidth="1"/>
    <col min="2560" max="2561" width="9.28515625" bestFit="1" customWidth="1"/>
    <col min="2800" max="2800" width="7.42578125" customWidth="1"/>
    <col min="2801" max="2802" width="10.85546875" bestFit="1" customWidth="1"/>
    <col min="2803" max="2804" width="10.85546875" customWidth="1"/>
    <col min="2805" max="2809" width="10" customWidth="1"/>
    <col min="2813" max="2814" width="10.85546875" bestFit="1" customWidth="1"/>
    <col min="2815" max="2815" width="10" bestFit="1" customWidth="1"/>
    <col min="2816" max="2817" width="9.28515625" bestFit="1" customWidth="1"/>
    <col min="3056" max="3056" width="7.42578125" customWidth="1"/>
    <col min="3057" max="3058" width="10.85546875" bestFit="1" customWidth="1"/>
    <col min="3059" max="3060" width="10.85546875" customWidth="1"/>
    <col min="3061" max="3065" width="10" customWidth="1"/>
    <col min="3069" max="3070" width="10.85546875" bestFit="1" customWidth="1"/>
    <col min="3071" max="3071" width="10" bestFit="1" customWidth="1"/>
    <col min="3072" max="3073" width="9.28515625" bestFit="1" customWidth="1"/>
    <col min="3312" max="3312" width="7.42578125" customWidth="1"/>
    <col min="3313" max="3314" width="10.85546875" bestFit="1" customWidth="1"/>
    <col min="3315" max="3316" width="10.85546875" customWidth="1"/>
    <col min="3317" max="3321" width="10" customWidth="1"/>
    <col min="3325" max="3326" width="10.85546875" bestFit="1" customWidth="1"/>
    <col min="3327" max="3327" width="10" bestFit="1" customWidth="1"/>
    <col min="3328" max="3329" width="9.28515625" bestFit="1" customWidth="1"/>
    <col min="3568" max="3568" width="7.42578125" customWidth="1"/>
    <col min="3569" max="3570" width="10.85546875" bestFit="1" customWidth="1"/>
    <col min="3571" max="3572" width="10.85546875" customWidth="1"/>
    <col min="3573" max="3577" width="10" customWidth="1"/>
    <col min="3581" max="3582" width="10.85546875" bestFit="1" customWidth="1"/>
    <col min="3583" max="3583" width="10" bestFit="1" customWidth="1"/>
    <col min="3584" max="3585" width="9.28515625" bestFit="1" customWidth="1"/>
    <col min="3824" max="3824" width="7.42578125" customWidth="1"/>
    <col min="3825" max="3826" width="10.85546875" bestFit="1" customWidth="1"/>
    <col min="3827" max="3828" width="10.85546875" customWidth="1"/>
    <col min="3829" max="3833" width="10" customWidth="1"/>
    <col min="3837" max="3838" width="10.85546875" bestFit="1" customWidth="1"/>
    <col min="3839" max="3839" width="10" bestFit="1" customWidth="1"/>
    <col min="3840" max="3841" width="9.28515625" bestFit="1" customWidth="1"/>
    <col min="4080" max="4080" width="7.42578125" customWidth="1"/>
    <col min="4081" max="4082" width="10.85546875" bestFit="1" customWidth="1"/>
    <col min="4083" max="4084" width="10.85546875" customWidth="1"/>
    <col min="4085" max="4089" width="10" customWidth="1"/>
    <col min="4093" max="4094" width="10.85546875" bestFit="1" customWidth="1"/>
    <col min="4095" max="4095" width="10" bestFit="1" customWidth="1"/>
    <col min="4096" max="4097" width="9.28515625" bestFit="1" customWidth="1"/>
    <col min="4336" max="4336" width="7.42578125" customWidth="1"/>
    <col min="4337" max="4338" width="10.85546875" bestFit="1" customWidth="1"/>
    <col min="4339" max="4340" width="10.85546875" customWidth="1"/>
    <col min="4341" max="4345" width="10" customWidth="1"/>
    <col min="4349" max="4350" width="10.85546875" bestFit="1" customWidth="1"/>
    <col min="4351" max="4351" width="10" bestFit="1" customWidth="1"/>
    <col min="4352" max="4353" width="9.28515625" bestFit="1" customWidth="1"/>
    <col min="4592" max="4592" width="7.42578125" customWidth="1"/>
    <col min="4593" max="4594" width="10.85546875" bestFit="1" customWidth="1"/>
    <col min="4595" max="4596" width="10.85546875" customWidth="1"/>
    <col min="4597" max="4601" width="10" customWidth="1"/>
    <col min="4605" max="4606" width="10.85546875" bestFit="1" customWidth="1"/>
    <col min="4607" max="4607" width="10" bestFit="1" customWidth="1"/>
    <col min="4608" max="4609" width="9.28515625" bestFit="1" customWidth="1"/>
    <col min="4848" max="4848" width="7.42578125" customWidth="1"/>
    <col min="4849" max="4850" width="10.85546875" bestFit="1" customWidth="1"/>
    <col min="4851" max="4852" width="10.85546875" customWidth="1"/>
    <col min="4853" max="4857" width="10" customWidth="1"/>
    <col min="4861" max="4862" width="10.85546875" bestFit="1" customWidth="1"/>
    <col min="4863" max="4863" width="10" bestFit="1" customWidth="1"/>
    <col min="4864" max="4865" width="9.28515625" bestFit="1" customWidth="1"/>
    <col min="5104" max="5104" width="7.42578125" customWidth="1"/>
    <col min="5105" max="5106" width="10.85546875" bestFit="1" customWidth="1"/>
    <col min="5107" max="5108" width="10.85546875" customWidth="1"/>
    <col min="5109" max="5113" width="10" customWidth="1"/>
    <col min="5117" max="5118" width="10.85546875" bestFit="1" customWidth="1"/>
    <col min="5119" max="5119" width="10" bestFit="1" customWidth="1"/>
    <col min="5120" max="5121" width="9.28515625" bestFit="1" customWidth="1"/>
    <col min="5360" max="5360" width="7.42578125" customWidth="1"/>
    <col min="5361" max="5362" width="10.85546875" bestFit="1" customWidth="1"/>
    <col min="5363" max="5364" width="10.85546875" customWidth="1"/>
    <col min="5365" max="5369" width="10" customWidth="1"/>
    <col min="5373" max="5374" width="10.85546875" bestFit="1" customWidth="1"/>
    <col min="5375" max="5375" width="10" bestFit="1" customWidth="1"/>
    <col min="5376" max="5377" width="9.28515625" bestFit="1" customWidth="1"/>
    <col min="5616" max="5616" width="7.42578125" customWidth="1"/>
    <col min="5617" max="5618" width="10.85546875" bestFit="1" customWidth="1"/>
    <col min="5619" max="5620" width="10.85546875" customWidth="1"/>
    <col min="5621" max="5625" width="10" customWidth="1"/>
    <col min="5629" max="5630" width="10.85546875" bestFit="1" customWidth="1"/>
    <col min="5631" max="5631" width="10" bestFit="1" customWidth="1"/>
    <col min="5632" max="5633" width="9.28515625" bestFit="1" customWidth="1"/>
    <col min="5872" max="5872" width="7.42578125" customWidth="1"/>
    <col min="5873" max="5874" width="10.85546875" bestFit="1" customWidth="1"/>
    <col min="5875" max="5876" width="10.85546875" customWidth="1"/>
    <col min="5877" max="5881" width="10" customWidth="1"/>
    <col min="5885" max="5886" width="10.85546875" bestFit="1" customWidth="1"/>
    <col min="5887" max="5887" width="10" bestFit="1" customWidth="1"/>
    <col min="5888" max="5889" width="9.28515625" bestFit="1" customWidth="1"/>
    <col min="6128" max="6128" width="7.42578125" customWidth="1"/>
    <col min="6129" max="6130" width="10.85546875" bestFit="1" customWidth="1"/>
    <col min="6131" max="6132" width="10.85546875" customWidth="1"/>
    <col min="6133" max="6137" width="10" customWidth="1"/>
    <col min="6141" max="6142" width="10.85546875" bestFit="1" customWidth="1"/>
    <col min="6143" max="6143" width="10" bestFit="1" customWidth="1"/>
    <col min="6144" max="6145" width="9.28515625" bestFit="1" customWidth="1"/>
    <col min="6384" max="6384" width="7.42578125" customWidth="1"/>
    <col min="6385" max="6386" width="10.85546875" bestFit="1" customWidth="1"/>
    <col min="6387" max="6388" width="10.85546875" customWidth="1"/>
    <col min="6389" max="6393" width="10" customWidth="1"/>
    <col min="6397" max="6398" width="10.85546875" bestFit="1" customWidth="1"/>
    <col min="6399" max="6399" width="10" bestFit="1" customWidth="1"/>
    <col min="6400" max="6401" width="9.28515625" bestFit="1" customWidth="1"/>
    <col min="6640" max="6640" width="7.42578125" customWidth="1"/>
    <col min="6641" max="6642" width="10.85546875" bestFit="1" customWidth="1"/>
    <col min="6643" max="6644" width="10.85546875" customWidth="1"/>
    <col min="6645" max="6649" width="10" customWidth="1"/>
    <col min="6653" max="6654" width="10.85546875" bestFit="1" customWidth="1"/>
    <col min="6655" max="6655" width="10" bestFit="1" customWidth="1"/>
    <col min="6656" max="6657" width="9.28515625" bestFit="1" customWidth="1"/>
    <col min="6896" max="6896" width="7.42578125" customWidth="1"/>
    <col min="6897" max="6898" width="10.85546875" bestFit="1" customWidth="1"/>
    <col min="6899" max="6900" width="10.85546875" customWidth="1"/>
    <col min="6901" max="6905" width="10" customWidth="1"/>
    <col min="6909" max="6910" width="10.85546875" bestFit="1" customWidth="1"/>
    <col min="6911" max="6911" width="10" bestFit="1" customWidth="1"/>
    <col min="6912" max="6913" width="9.28515625" bestFit="1" customWidth="1"/>
    <col min="7152" max="7152" width="7.42578125" customWidth="1"/>
    <col min="7153" max="7154" width="10.85546875" bestFit="1" customWidth="1"/>
    <col min="7155" max="7156" width="10.85546875" customWidth="1"/>
    <col min="7157" max="7161" width="10" customWidth="1"/>
    <col min="7165" max="7166" width="10.85546875" bestFit="1" customWidth="1"/>
    <col min="7167" max="7167" width="10" bestFit="1" customWidth="1"/>
    <col min="7168" max="7169" width="9.28515625" bestFit="1" customWidth="1"/>
    <col min="7408" max="7408" width="7.42578125" customWidth="1"/>
    <col min="7409" max="7410" width="10.85546875" bestFit="1" customWidth="1"/>
    <col min="7411" max="7412" width="10.85546875" customWidth="1"/>
    <col min="7413" max="7417" width="10" customWidth="1"/>
    <col min="7421" max="7422" width="10.85546875" bestFit="1" customWidth="1"/>
    <col min="7423" max="7423" width="10" bestFit="1" customWidth="1"/>
    <col min="7424" max="7425" width="9.28515625" bestFit="1" customWidth="1"/>
    <col min="7664" max="7664" width="7.42578125" customWidth="1"/>
    <col min="7665" max="7666" width="10.85546875" bestFit="1" customWidth="1"/>
    <col min="7667" max="7668" width="10.85546875" customWidth="1"/>
    <col min="7669" max="7673" width="10" customWidth="1"/>
    <col min="7677" max="7678" width="10.85546875" bestFit="1" customWidth="1"/>
    <col min="7679" max="7679" width="10" bestFit="1" customWidth="1"/>
    <col min="7680" max="7681" width="9.28515625" bestFit="1" customWidth="1"/>
    <col min="7920" max="7920" width="7.42578125" customWidth="1"/>
    <col min="7921" max="7922" width="10.85546875" bestFit="1" customWidth="1"/>
    <col min="7923" max="7924" width="10.85546875" customWidth="1"/>
    <col min="7925" max="7929" width="10" customWidth="1"/>
    <col min="7933" max="7934" width="10.85546875" bestFit="1" customWidth="1"/>
    <col min="7935" max="7935" width="10" bestFit="1" customWidth="1"/>
    <col min="7936" max="7937" width="9.28515625" bestFit="1" customWidth="1"/>
    <col min="8176" max="8176" width="7.42578125" customWidth="1"/>
    <col min="8177" max="8178" width="10.85546875" bestFit="1" customWidth="1"/>
    <col min="8179" max="8180" width="10.85546875" customWidth="1"/>
    <col min="8181" max="8185" width="10" customWidth="1"/>
    <col min="8189" max="8190" width="10.85546875" bestFit="1" customWidth="1"/>
    <col min="8191" max="8191" width="10" bestFit="1" customWidth="1"/>
    <col min="8192" max="8193" width="9.28515625" bestFit="1" customWidth="1"/>
    <col min="8432" max="8432" width="7.42578125" customWidth="1"/>
    <col min="8433" max="8434" width="10.85546875" bestFit="1" customWidth="1"/>
    <col min="8435" max="8436" width="10.85546875" customWidth="1"/>
    <col min="8437" max="8441" width="10" customWidth="1"/>
    <col min="8445" max="8446" width="10.85546875" bestFit="1" customWidth="1"/>
    <col min="8447" max="8447" width="10" bestFit="1" customWidth="1"/>
    <col min="8448" max="8449" width="9.28515625" bestFit="1" customWidth="1"/>
    <col min="8688" max="8688" width="7.42578125" customWidth="1"/>
    <col min="8689" max="8690" width="10.85546875" bestFit="1" customWidth="1"/>
    <col min="8691" max="8692" width="10.85546875" customWidth="1"/>
    <col min="8693" max="8697" width="10" customWidth="1"/>
    <col min="8701" max="8702" width="10.85546875" bestFit="1" customWidth="1"/>
    <col min="8703" max="8703" width="10" bestFit="1" customWidth="1"/>
    <col min="8704" max="8705" width="9.28515625" bestFit="1" customWidth="1"/>
    <col min="8944" max="8944" width="7.42578125" customWidth="1"/>
    <col min="8945" max="8946" width="10.85546875" bestFit="1" customWidth="1"/>
    <col min="8947" max="8948" width="10.85546875" customWidth="1"/>
    <col min="8949" max="8953" width="10" customWidth="1"/>
    <col min="8957" max="8958" width="10.85546875" bestFit="1" customWidth="1"/>
    <col min="8959" max="8959" width="10" bestFit="1" customWidth="1"/>
    <col min="8960" max="8961" width="9.28515625" bestFit="1" customWidth="1"/>
    <col min="9200" max="9200" width="7.42578125" customWidth="1"/>
    <col min="9201" max="9202" width="10.85546875" bestFit="1" customWidth="1"/>
    <col min="9203" max="9204" width="10.85546875" customWidth="1"/>
    <col min="9205" max="9209" width="10" customWidth="1"/>
    <col min="9213" max="9214" width="10.85546875" bestFit="1" customWidth="1"/>
    <col min="9215" max="9215" width="10" bestFit="1" customWidth="1"/>
    <col min="9216" max="9217" width="9.28515625" bestFit="1" customWidth="1"/>
    <col min="9456" max="9456" width="7.42578125" customWidth="1"/>
    <col min="9457" max="9458" width="10.85546875" bestFit="1" customWidth="1"/>
    <col min="9459" max="9460" width="10.85546875" customWidth="1"/>
    <col min="9461" max="9465" width="10" customWidth="1"/>
    <col min="9469" max="9470" width="10.85546875" bestFit="1" customWidth="1"/>
    <col min="9471" max="9471" width="10" bestFit="1" customWidth="1"/>
    <col min="9472" max="9473" width="9.28515625" bestFit="1" customWidth="1"/>
    <col min="9712" max="9712" width="7.42578125" customWidth="1"/>
    <col min="9713" max="9714" width="10.85546875" bestFit="1" customWidth="1"/>
    <col min="9715" max="9716" width="10.85546875" customWidth="1"/>
    <col min="9717" max="9721" width="10" customWidth="1"/>
    <col min="9725" max="9726" width="10.85546875" bestFit="1" customWidth="1"/>
    <col min="9727" max="9727" width="10" bestFit="1" customWidth="1"/>
    <col min="9728" max="9729" width="9.28515625" bestFit="1" customWidth="1"/>
    <col min="9968" max="9968" width="7.42578125" customWidth="1"/>
    <col min="9969" max="9970" width="10.85546875" bestFit="1" customWidth="1"/>
    <col min="9971" max="9972" width="10.85546875" customWidth="1"/>
    <col min="9973" max="9977" width="10" customWidth="1"/>
    <col min="9981" max="9982" width="10.85546875" bestFit="1" customWidth="1"/>
    <col min="9983" max="9983" width="10" bestFit="1" customWidth="1"/>
    <col min="9984" max="9985" width="9.28515625" bestFit="1" customWidth="1"/>
    <col min="10224" max="10224" width="7.42578125" customWidth="1"/>
    <col min="10225" max="10226" width="10.85546875" bestFit="1" customWidth="1"/>
    <col min="10227" max="10228" width="10.85546875" customWidth="1"/>
    <col min="10229" max="10233" width="10" customWidth="1"/>
    <col min="10237" max="10238" width="10.85546875" bestFit="1" customWidth="1"/>
    <col min="10239" max="10239" width="10" bestFit="1" customWidth="1"/>
    <col min="10240" max="10241" width="9.28515625" bestFit="1" customWidth="1"/>
    <col min="10480" max="10480" width="7.42578125" customWidth="1"/>
    <col min="10481" max="10482" width="10.85546875" bestFit="1" customWidth="1"/>
    <col min="10483" max="10484" width="10.85546875" customWidth="1"/>
    <col min="10485" max="10489" width="10" customWidth="1"/>
    <col min="10493" max="10494" width="10.85546875" bestFit="1" customWidth="1"/>
    <col min="10495" max="10495" width="10" bestFit="1" customWidth="1"/>
    <col min="10496" max="10497" width="9.28515625" bestFit="1" customWidth="1"/>
    <col min="10736" max="10736" width="7.42578125" customWidth="1"/>
    <col min="10737" max="10738" width="10.85546875" bestFit="1" customWidth="1"/>
    <col min="10739" max="10740" width="10.85546875" customWidth="1"/>
    <col min="10741" max="10745" width="10" customWidth="1"/>
    <col min="10749" max="10750" width="10.85546875" bestFit="1" customWidth="1"/>
    <col min="10751" max="10751" width="10" bestFit="1" customWidth="1"/>
    <col min="10752" max="10753" width="9.28515625" bestFit="1" customWidth="1"/>
    <col min="10992" max="10992" width="7.42578125" customWidth="1"/>
    <col min="10993" max="10994" width="10.85546875" bestFit="1" customWidth="1"/>
    <col min="10995" max="10996" width="10.85546875" customWidth="1"/>
    <col min="10997" max="11001" width="10" customWidth="1"/>
    <col min="11005" max="11006" width="10.85546875" bestFit="1" customWidth="1"/>
    <col min="11007" max="11007" width="10" bestFit="1" customWidth="1"/>
    <col min="11008" max="11009" width="9.28515625" bestFit="1" customWidth="1"/>
    <col min="11248" max="11248" width="7.42578125" customWidth="1"/>
    <col min="11249" max="11250" width="10.85546875" bestFit="1" customWidth="1"/>
    <col min="11251" max="11252" width="10.85546875" customWidth="1"/>
    <col min="11253" max="11257" width="10" customWidth="1"/>
    <col min="11261" max="11262" width="10.85546875" bestFit="1" customWidth="1"/>
    <col min="11263" max="11263" width="10" bestFit="1" customWidth="1"/>
    <col min="11264" max="11265" width="9.28515625" bestFit="1" customWidth="1"/>
    <col min="11504" max="11504" width="7.42578125" customWidth="1"/>
    <col min="11505" max="11506" width="10.85546875" bestFit="1" customWidth="1"/>
    <col min="11507" max="11508" width="10.85546875" customWidth="1"/>
    <col min="11509" max="11513" width="10" customWidth="1"/>
    <col min="11517" max="11518" width="10.85546875" bestFit="1" customWidth="1"/>
    <col min="11519" max="11519" width="10" bestFit="1" customWidth="1"/>
    <col min="11520" max="11521" width="9.28515625" bestFit="1" customWidth="1"/>
    <col min="11760" max="11760" width="7.42578125" customWidth="1"/>
    <col min="11761" max="11762" width="10.85546875" bestFit="1" customWidth="1"/>
    <col min="11763" max="11764" width="10.85546875" customWidth="1"/>
    <col min="11765" max="11769" width="10" customWidth="1"/>
    <col min="11773" max="11774" width="10.85546875" bestFit="1" customWidth="1"/>
    <col min="11775" max="11775" width="10" bestFit="1" customWidth="1"/>
    <col min="11776" max="11777" width="9.28515625" bestFit="1" customWidth="1"/>
    <col min="12016" max="12016" width="7.42578125" customWidth="1"/>
    <col min="12017" max="12018" width="10.85546875" bestFit="1" customWidth="1"/>
    <col min="12019" max="12020" width="10.85546875" customWidth="1"/>
    <col min="12021" max="12025" width="10" customWidth="1"/>
    <col min="12029" max="12030" width="10.85546875" bestFit="1" customWidth="1"/>
    <col min="12031" max="12031" width="10" bestFit="1" customWidth="1"/>
    <col min="12032" max="12033" width="9.28515625" bestFit="1" customWidth="1"/>
    <col min="12272" max="12272" width="7.42578125" customWidth="1"/>
    <col min="12273" max="12274" width="10.85546875" bestFit="1" customWidth="1"/>
    <col min="12275" max="12276" width="10.85546875" customWidth="1"/>
    <col min="12277" max="12281" width="10" customWidth="1"/>
    <col min="12285" max="12286" width="10.85546875" bestFit="1" customWidth="1"/>
    <col min="12287" max="12287" width="10" bestFit="1" customWidth="1"/>
    <col min="12288" max="12289" width="9.28515625" bestFit="1" customWidth="1"/>
    <col min="12528" max="12528" width="7.42578125" customWidth="1"/>
    <col min="12529" max="12530" width="10.85546875" bestFit="1" customWidth="1"/>
    <col min="12531" max="12532" width="10.85546875" customWidth="1"/>
    <col min="12533" max="12537" width="10" customWidth="1"/>
    <col min="12541" max="12542" width="10.85546875" bestFit="1" customWidth="1"/>
    <col min="12543" max="12543" width="10" bestFit="1" customWidth="1"/>
    <col min="12544" max="12545" width="9.28515625" bestFit="1" customWidth="1"/>
    <col min="12784" max="12784" width="7.42578125" customWidth="1"/>
    <col min="12785" max="12786" width="10.85546875" bestFit="1" customWidth="1"/>
    <col min="12787" max="12788" width="10.85546875" customWidth="1"/>
    <col min="12789" max="12793" width="10" customWidth="1"/>
    <col min="12797" max="12798" width="10.85546875" bestFit="1" customWidth="1"/>
    <col min="12799" max="12799" width="10" bestFit="1" customWidth="1"/>
    <col min="12800" max="12801" width="9.28515625" bestFit="1" customWidth="1"/>
    <col min="13040" max="13040" width="7.42578125" customWidth="1"/>
    <col min="13041" max="13042" width="10.85546875" bestFit="1" customWidth="1"/>
    <col min="13043" max="13044" width="10.85546875" customWidth="1"/>
    <col min="13045" max="13049" width="10" customWidth="1"/>
    <col min="13053" max="13054" width="10.85546875" bestFit="1" customWidth="1"/>
    <col min="13055" max="13055" width="10" bestFit="1" customWidth="1"/>
    <col min="13056" max="13057" width="9.28515625" bestFit="1" customWidth="1"/>
    <col min="13296" max="13296" width="7.42578125" customWidth="1"/>
    <col min="13297" max="13298" width="10.85546875" bestFit="1" customWidth="1"/>
    <col min="13299" max="13300" width="10.85546875" customWidth="1"/>
    <col min="13301" max="13305" width="10" customWidth="1"/>
    <col min="13309" max="13310" width="10.85546875" bestFit="1" customWidth="1"/>
    <col min="13311" max="13311" width="10" bestFit="1" customWidth="1"/>
    <col min="13312" max="13313" width="9.28515625" bestFit="1" customWidth="1"/>
    <col min="13552" max="13552" width="7.42578125" customWidth="1"/>
    <col min="13553" max="13554" width="10.85546875" bestFit="1" customWidth="1"/>
    <col min="13555" max="13556" width="10.85546875" customWidth="1"/>
    <col min="13557" max="13561" width="10" customWidth="1"/>
    <col min="13565" max="13566" width="10.85546875" bestFit="1" customWidth="1"/>
    <col min="13567" max="13567" width="10" bestFit="1" customWidth="1"/>
    <col min="13568" max="13569" width="9.28515625" bestFit="1" customWidth="1"/>
    <col min="13808" max="13808" width="7.42578125" customWidth="1"/>
    <col min="13809" max="13810" width="10.85546875" bestFit="1" customWidth="1"/>
    <col min="13811" max="13812" width="10.85546875" customWidth="1"/>
    <col min="13813" max="13817" width="10" customWidth="1"/>
    <col min="13821" max="13822" width="10.85546875" bestFit="1" customWidth="1"/>
    <col min="13823" max="13823" width="10" bestFit="1" customWidth="1"/>
    <col min="13824" max="13825" width="9.28515625" bestFit="1" customWidth="1"/>
    <col min="14064" max="14064" width="7.42578125" customWidth="1"/>
    <col min="14065" max="14066" width="10.85546875" bestFit="1" customWidth="1"/>
    <col min="14067" max="14068" width="10.85546875" customWidth="1"/>
    <col min="14069" max="14073" width="10" customWidth="1"/>
    <col min="14077" max="14078" width="10.85546875" bestFit="1" customWidth="1"/>
    <col min="14079" max="14079" width="10" bestFit="1" customWidth="1"/>
    <col min="14080" max="14081" width="9.28515625" bestFit="1" customWidth="1"/>
    <col min="14320" max="14320" width="7.42578125" customWidth="1"/>
    <col min="14321" max="14322" width="10.85546875" bestFit="1" customWidth="1"/>
    <col min="14323" max="14324" width="10.85546875" customWidth="1"/>
    <col min="14325" max="14329" width="10" customWidth="1"/>
    <col min="14333" max="14334" width="10.85546875" bestFit="1" customWidth="1"/>
    <col min="14335" max="14335" width="10" bestFit="1" customWidth="1"/>
    <col min="14336" max="14337" width="9.28515625" bestFit="1" customWidth="1"/>
    <col min="14576" max="14576" width="7.42578125" customWidth="1"/>
    <col min="14577" max="14578" width="10.85546875" bestFit="1" customWidth="1"/>
    <col min="14579" max="14580" width="10.85546875" customWidth="1"/>
    <col min="14581" max="14585" width="10" customWidth="1"/>
    <col min="14589" max="14590" width="10.85546875" bestFit="1" customWidth="1"/>
    <col min="14591" max="14591" width="10" bestFit="1" customWidth="1"/>
    <col min="14592" max="14593" width="9.28515625" bestFit="1" customWidth="1"/>
    <col min="14832" max="14832" width="7.42578125" customWidth="1"/>
    <col min="14833" max="14834" width="10.85546875" bestFit="1" customWidth="1"/>
    <col min="14835" max="14836" width="10.85546875" customWidth="1"/>
    <col min="14837" max="14841" width="10" customWidth="1"/>
    <col min="14845" max="14846" width="10.85546875" bestFit="1" customWidth="1"/>
    <col min="14847" max="14847" width="10" bestFit="1" customWidth="1"/>
    <col min="14848" max="14849" width="9.28515625" bestFit="1" customWidth="1"/>
    <col min="15088" max="15088" width="7.42578125" customWidth="1"/>
    <col min="15089" max="15090" width="10.85546875" bestFit="1" customWidth="1"/>
    <col min="15091" max="15092" width="10.85546875" customWidth="1"/>
    <col min="15093" max="15097" width="10" customWidth="1"/>
    <col min="15101" max="15102" width="10.85546875" bestFit="1" customWidth="1"/>
    <col min="15103" max="15103" width="10" bestFit="1" customWidth="1"/>
    <col min="15104" max="15105" width="9.28515625" bestFit="1" customWidth="1"/>
    <col min="15344" max="15344" width="7.42578125" customWidth="1"/>
    <col min="15345" max="15346" width="10.85546875" bestFit="1" customWidth="1"/>
    <col min="15347" max="15348" width="10.85546875" customWidth="1"/>
    <col min="15349" max="15353" width="10" customWidth="1"/>
    <col min="15357" max="15358" width="10.85546875" bestFit="1" customWidth="1"/>
    <col min="15359" max="15359" width="10" bestFit="1" customWidth="1"/>
    <col min="15360" max="15361" width="9.28515625" bestFit="1" customWidth="1"/>
  </cols>
  <sheetData>
    <row r="1" spans="1:38" x14ac:dyDescent="0.2">
      <c r="A1" s="40" t="s">
        <v>2</v>
      </c>
    </row>
    <row r="2" spans="1:38" x14ac:dyDescent="0.2">
      <c r="A2" s="40" t="s">
        <v>3</v>
      </c>
    </row>
    <row r="3" spans="1:38" x14ac:dyDescent="0.2">
      <c r="A3" s="1003" t="s">
        <v>4</v>
      </c>
      <c r="B3" s="1003"/>
      <c r="C3" s="1003"/>
      <c r="D3" s="1003"/>
      <c r="E3" s="1003"/>
      <c r="F3" s="1003"/>
      <c r="G3" s="1003"/>
      <c r="H3" s="1003"/>
    </row>
    <row r="4" spans="1:38" x14ac:dyDescent="0.2">
      <c r="A4" s="5"/>
      <c r="AJ4" s="13"/>
      <c r="AK4" s="13"/>
    </row>
    <row r="5" spans="1:38" ht="16.5" customHeight="1" x14ac:dyDescent="0.25">
      <c r="A5" s="127" t="s">
        <v>828</v>
      </c>
      <c r="B5" s="475"/>
      <c r="C5" s="475"/>
      <c r="D5" s="475"/>
      <c r="E5" s="474"/>
      <c r="F5" s="548"/>
      <c r="G5" s="548"/>
      <c r="H5" s="474"/>
      <c r="I5" s="49"/>
      <c r="J5" s="845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910"/>
      <c r="AA5" s="50"/>
      <c r="AB5" s="50"/>
      <c r="AC5" s="50"/>
      <c r="AD5" s="50"/>
      <c r="AE5" s="50"/>
    </row>
    <row r="6" spans="1:38" ht="15.75" thickBot="1" x14ac:dyDescent="0.3">
      <c r="A6" s="390"/>
      <c r="B6" s="391"/>
      <c r="C6" s="392"/>
      <c r="D6" s="392"/>
      <c r="E6" s="391"/>
      <c r="F6" s="391"/>
      <c r="G6" s="391"/>
      <c r="H6" s="829"/>
      <c r="I6" s="322"/>
      <c r="J6" s="851" t="s">
        <v>815</v>
      </c>
      <c r="K6" s="49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49"/>
      <c r="W6" s="49"/>
      <c r="X6" s="49"/>
      <c r="Y6" s="50"/>
      <c r="Z6" s="851" t="s">
        <v>815</v>
      </c>
      <c r="AA6" s="50"/>
      <c r="AB6" s="50"/>
      <c r="AC6" s="50"/>
      <c r="AD6" s="50"/>
      <c r="AE6" s="50"/>
      <c r="AF6" s="13"/>
    </row>
    <row r="7" spans="1:38" ht="15.75" customHeight="1" thickBot="1" x14ac:dyDescent="0.3">
      <c r="A7" s="9"/>
      <c r="B7" s="972" t="s">
        <v>814</v>
      </c>
      <c r="C7" s="973"/>
      <c r="D7" s="973"/>
      <c r="E7" s="973"/>
      <c r="F7" s="973"/>
      <c r="G7" s="973"/>
      <c r="H7" s="974"/>
      <c r="I7" s="989" t="s">
        <v>809</v>
      </c>
      <c r="J7" s="989"/>
      <c r="K7" s="989"/>
      <c r="L7" s="989"/>
      <c r="M7" s="989"/>
      <c r="N7" s="989"/>
      <c r="O7" s="989"/>
      <c r="P7" s="989"/>
      <c r="Q7" s="989"/>
      <c r="R7" s="989"/>
      <c r="S7" s="989"/>
      <c r="T7" s="989"/>
      <c r="U7" s="989"/>
      <c r="V7" s="989"/>
      <c r="W7" s="989"/>
      <c r="X7" s="989"/>
      <c r="Y7" s="989"/>
      <c r="Z7" s="989"/>
      <c r="AA7" s="989"/>
      <c r="AB7" s="989"/>
      <c r="AC7" s="989"/>
      <c r="AD7" s="989"/>
      <c r="AE7" s="989"/>
      <c r="AF7" s="972" t="s">
        <v>829</v>
      </c>
      <c r="AG7" s="973"/>
      <c r="AH7" s="973"/>
      <c r="AI7" s="973"/>
      <c r="AJ7" s="973"/>
      <c r="AK7" s="973"/>
      <c r="AL7" s="974"/>
    </row>
    <row r="8" spans="1:38" ht="13.5" customHeight="1" thickBot="1" x14ac:dyDescent="0.25">
      <c r="B8" s="975"/>
      <c r="C8" s="976"/>
      <c r="D8" s="976"/>
      <c r="E8" s="976"/>
      <c r="F8" s="976"/>
      <c r="G8" s="976"/>
      <c r="H8" s="977"/>
      <c r="I8" s="926" t="s">
        <v>773</v>
      </c>
      <c r="J8" s="926"/>
      <c r="K8" s="926"/>
      <c r="L8" s="926"/>
      <c r="M8" s="926"/>
      <c r="N8" s="926"/>
      <c r="O8" s="927"/>
      <c r="P8" s="932" t="s">
        <v>774</v>
      </c>
      <c r="Q8" s="933"/>
      <c r="R8" s="933"/>
      <c r="S8" s="934"/>
      <c r="T8" s="958" t="s">
        <v>793</v>
      </c>
      <c r="U8" s="939" t="s">
        <v>5</v>
      </c>
      <c r="V8" s="939" t="s">
        <v>266</v>
      </c>
      <c r="W8" s="939" t="s">
        <v>801</v>
      </c>
      <c r="X8" s="952" t="s">
        <v>275</v>
      </c>
      <c r="Y8" s="923" t="s">
        <v>813</v>
      </c>
      <c r="Z8" s="924"/>
      <c r="AA8" s="924"/>
      <c r="AB8" s="924"/>
      <c r="AC8" s="924"/>
      <c r="AD8" s="924"/>
      <c r="AE8" s="924"/>
      <c r="AF8" s="975"/>
      <c r="AG8" s="976"/>
      <c r="AH8" s="976"/>
      <c r="AI8" s="976"/>
      <c r="AJ8" s="976"/>
      <c r="AK8" s="976"/>
      <c r="AL8" s="977"/>
    </row>
    <row r="9" spans="1:38" ht="12.75" customHeight="1" x14ac:dyDescent="0.2">
      <c r="B9" s="993" t="s">
        <v>6</v>
      </c>
      <c r="C9" s="991" t="s">
        <v>753</v>
      </c>
      <c r="D9" s="992"/>
      <c r="E9" s="992"/>
      <c r="F9" s="992"/>
      <c r="G9" s="683"/>
      <c r="H9" s="969" t="s">
        <v>800</v>
      </c>
      <c r="I9" s="928"/>
      <c r="J9" s="928"/>
      <c r="K9" s="928"/>
      <c r="L9" s="928"/>
      <c r="M9" s="928"/>
      <c r="N9" s="928"/>
      <c r="O9" s="929"/>
      <c r="P9" s="935"/>
      <c r="Q9" s="928"/>
      <c r="R9" s="928"/>
      <c r="S9" s="929"/>
      <c r="T9" s="958"/>
      <c r="U9" s="939"/>
      <c r="V9" s="939"/>
      <c r="W9" s="939"/>
      <c r="X9" s="952"/>
      <c r="Y9" s="936" t="s">
        <v>267</v>
      </c>
      <c r="Z9" s="945" t="s">
        <v>268</v>
      </c>
      <c r="AA9" s="966" t="s">
        <v>790</v>
      </c>
      <c r="AB9" s="945" t="s">
        <v>762</v>
      </c>
      <c r="AC9" s="945" t="s">
        <v>791</v>
      </c>
      <c r="AD9" s="948" t="s">
        <v>269</v>
      </c>
      <c r="AE9" s="1001" t="s">
        <v>798</v>
      </c>
      <c r="AF9" s="985" t="s">
        <v>6</v>
      </c>
      <c r="AG9" s="982" t="s">
        <v>753</v>
      </c>
      <c r="AH9" s="982"/>
      <c r="AI9" s="982"/>
      <c r="AJ9" s="982"/>
      <c r="AK9" s="684"/>
      <c r="AL9" s="969" t="s">
        <v>800</v>
      </c>
    </row>
    <row r="10" spans="1:38" ht="24.75" customHeight="1" x14ac:dyDescent="0.2">
      <c r="A10"/>
      <c r="B10" s="994"/>
      <c r="C10" s="954" t="s">
        <v>259</v>
      </c>
      <c r="D10" s="964" t="s">
        <v>265</v>
      </c>
      <c r="E10" s="956" t="s">
        <v>5</v>
      </c>
      <c r="F10" s="956" t="s">
        <v>1</v>
      </c>
      <c r="G10" s="956" t="s">
        <v>801</v>
      </c>
      <c r="H10" s="970"/>
      <c r="I10" s="962" t="s">
        <v>270</v>
      </c>
      <c r="J10" s="943" t="s">
        <v>788</v>
      </c>
      <c r="K10" s="943" t="s">
        <v>762</v>
      </c>
      <c r="L10" s="941" t="s">
        <v>804</v>
      </c>
      <c r="M10" s="941" t="s">
        <v>791</v>
      </c>
      <c r="N10" s="941" t="s">
        <v>269</v>
      </c>
      <c r="O10" s="930" t="s">
        <v>763</v>
      </c>
      <c r="P10" s="941" t="s">
        <v>271</v>
      </c>
      <c r="Q10" s="960" t="s">
        <v>792</v>
      </c>
      <c r="R10" s="941" t="s">
        <v>272</v>
      </c>
      <c r="S10" s="930" t="s">
        <v>722</v>
      </c>
      <c r="T10" s="958"/>
      <c r="U10" s="939"/>
      <c r="V10" s="939"/>
      <c r="W10" s="939"/>
      <c r="X10" s="952"/>
      <c r="Y10" s="937"/>
      <c r="Z10" s="946"/>
      <c r="AA10" s="967"/>
      <c r="AB10" s="946"/>
      <c r="AC10" s="946"/>
      <c r="AD10" s="948"/>
      <c r="AE10" s="1001"/>
      <c r="AF10" s="986"/>
      <c r="AG10" s="978" t="s">
        <v>259</v>
      </c>
      <c r="AH10" s="980" t="s">
        <v>265</v>
      </c>
      <c r="AI10" s="983" t="s">
        <v>5</v>
      </c>
      <c r="AJ10" s="983" t="s">
        <v>1</v>
      </c>
      <c r="AK10" s="983" t="s">
        <v>801</v>
      </c>
      <c r="AL10" s="970"/>
    </row>
    <row r="11" spans="1:38" s="4" customFormat="1" ht="27" customHeight="1" thickBot="1" x14ac:dyDescent="0.25">
      <c r="A11" s="10" t="s">
        <v>236</v>
      </c>
      <c r="B11" s="995"/>
      <c r="C11" s="955"/>
      <c r="D11" s="965"/>
      <c r="E11" s="957"/>
      <c r="F11" s="957"/>
      <c r="G11" s="957"/>
      <c r="H11" s="971"/>
      <c r="I11" s="963"/>
      <c r="J11" s="944"/>
      <c r="K11" s="944"/>
      <c r="L11" s="942"/>
      <c r="M11" s="942"/>
      <c r="N11" s="942"/>
      <c r="O11" s="931"/>
      <c r="P11" s="942"/>
      <c r="Q11" s="961"/>
      <c r="R11" s="942"/>
      <c r="S11" s="931"/>
      <c r="T11" s="959"/>
      <c r="U11" s="940"/>
      <c r="V11" s="940"/>
      <c r="W11" s="940"/>
      <c r="X11" s="953"/>
      <c r="Y11" s="938"/>
      <c r="Z11" s="947"/>
      <c r="AA11" s="968"/>
      <c r="AB11" s="947"/>
      <c r="AC11" s="947"/>
      <c r="AD11" s="949"/>
      <c r="AE11" s="1002"/>
      <c r="AF11" s="987"/>
      <c r="AG11" s="979"/>
      <c r="AH11" s="981"/>
      <c r="AI11" s="984"/>
      <c r="AJ11" s="984"/>
      <c r="AK11" s="984"/>
      <c r="AL11" s="971"/>
    </row>
    <row r="12" spans="1:38" s="4" customFormat="1" ht="12" customHeight="1" thickBot="1" x14ac:dyDescent="0.25">
      <c r="A12" s="604" t="s">
        <v>237</v>
      </c>
      <c r="B12" s="533" t="s">
        <v>254</v>
      </c>
      <c r="C12" s="532" t="s">
        <v>255</v>
      </c>
      <c r="D12" s="532" t="s">
        <v>260</v>
      </c>
      <c r="E12" s="532" t="s">
        <v>256</v>
      </c>
      <c r="F12" s="532" t="s">
        <v>257</v>
      </c>
      <c r="G12" s="532" t="s">
        <v>803</v>
      </c>
      <c r="H12" s="606" t="s">
        <v>812</v>
      </c>
      <c r="I12" s="553" t="s">
        <v>776</v>
      </c>
      <c r="J12" s="532" t="s">
        <v>789</v>
      </c>
      <c r="K12" s="532" t="s">
        <v>776</v>
      </c>
      <c r="L12" s="532" t="s">
        <v>776</v>
      </c>
      <c r="M12" s="532" t="s">
        <v>789</v>
      </c>
      <c r="N12" s="532" t="s">
        <v>789</v>
      </c>
      <c r="O12" s="532" t="s">
        <v>776</v>
      </c>
      <c r="P12" s="553" t="s">
        <v>777</v>
      </c>
      <c r="Q12" s="532" t="s">
        <v>777</v>
      </c>
      <c r="R12" s="532" t="s">
        <v>777</v>
      </c>
      <c r="S12" s="532" t="s">
        <v>777</v>
      </c>
      <c r="T12" s="553" t="s">
        <v>775</v>
      </c>
      <c r="U12" s="532" t="s">
        <v>273</v>
      </c>
      <c r="V12" s="532" t="s">
        <v>274</v>
      </c>
      <c r="W12" s="532" t="s">
        <v>802</v>
      </c>
      <c r="X12" s="884" t="s">
        <v>276</v>
      </c>
      <c r="Y12" s="887" t="s">
        <v>811</v>
      </c>
      <c r="Z12" s="888" t="s">
        <v>811</v>
      </c>
      <c r="AA12" s="888" t="s">
        <v>811</v>
      </c>
      <c r="AB12" s="888" t="s">
        <v>811</v>
      </c>
      <c r="AC12" s="888" t="s">
        <v>811</v>
      </c>
      <c r="AD12" s="888" t="s">
        <v>811</v>
      </c>
      <c r="AE12" s="885" t="s">
        <v>811</v>
      </c>
      <c r="AF12" s="533" t="s">
        <v>254</v>
      </c>
      <c r="AG12" s="532" t="s">
        <v>255</v>
      </c>
      <c r="AH12" s="532" t="s">
        <v>260</v>
      </c>
      <c r="AI12" s="532" t="s">
        <v>256</v>
      </c>
      <c r="AJ12" s="532" t="s">
        <v>257</v>
      </c>
      <c r="AK12" s="884" t="s">
        <v>803</v>
      </c>
      <c r="AL12" s="885" t="s">
        <v>812</v>
      </c>
    </row>
    <row r="13" spans="1:38" x14ac:dyDescent="0.2">
      <c r="A13" s="819" t="s">
        <v>238</v>
      </c>
      <c r="B13" s="823">
        <f>'LB '!I367</f>
        <v>1780130710</v>
      </c>
      <c r="C13" s="824">
        <f>'LB '!J367</f>
        <v>1316324535</v>
      </c>
      <c r="D13" s="824">
        <f>'LB '!K367</f>
        <v>4278956</v>
      </c>
      <c r="E13" s="824">
        <f>'LB '!L367</f>
        <v>446363974</v>
      </c>
      <c r="F13" s="824">
        <f>'LB '!M367</f>
        <v>13163245</v>
      </c>
      <c r="G13" s="824">
        <f>'LB '!N367</f>
        <v>0</v>
      </c>
      <c r="H13" s="828">
        <f>'LB '!O367</f>
        <v>2075.168900000001</v>
      </c>
      <c r="I13" s="825">
        <f>'LB '!P367</f>
        <v>-75000</v>
      </c>
      <c r="J13" s="824">
        <f>'LB '!Q367</f>
        <v>2837526</v>
      </c>
      <c r="K13" s="824">
        <f>'LB '!R367</f>
        <v>0</v>
      </c>
      <c r="L13" s="824">
        <f>'LB '!S367</f>
        <v>206546</v>
      </c>
      <c r="M13" s="824">
        <f>'LB '!T367</f>
        <v>0</v>
      </c>
      <c r="N13" s="824">
        <f>'LB '!U367</f>
        <v>0</v>
      </c>
      <c r="O13" s="824">
        <f>'LB '!V367</f>
        <v>2969072</v>
      </c>
      <c r="P13" s="824">
        <f>'LB '!W367</f>
        <v>75000</v>
      </c>
      <c r="Q13" s="824">
        <f>'LB '!X367</f>
        <v>0</v>
      </c>
      <c r="R13" s="824">
        <f>'LB '!Y367</f>
        <v>0</v>
      </c>
      <c r="S13" s="824">
        <f>'LB '!Z367</f>
        <v>75000</v>
      </c>
      <c r="T13" s="824">
        <f>'LB '!AA367</f>
        <v>3044072</v>
      </c>
      <c r="U13" s="824">
        <f>'LB '!AB367</f>
        <v>1028895</v>
      </c>
      <c r="V13" s="824">
        <f>'LB '!AC367</f>
        <v>29692</v>
      </c>
      <c r="W13" s="824">
        <f>'LB '!AD367</f>
        <v>0</v>
      </c>
      <c r="X13" s="831">
        <f>'LB '!AE367</f>
        <v>4102659</v>
      </c>
      <c r="Y13" s="833">
        <f>'LB '!AF367</f>
        <v>-0.02</v>
      </c>
      <c r="Z13" s="827">
        <f>'LB '!AG367</f>
        <v>6.9</v>
      </c>
      <c r="AA13" s="827">
        <f>'LB '!AH367</f>
        <v>0.37</v>
      </c>
      <c r="AB13" s="827">
        <f>'LB '!AI367</f>
        <v>0</v>
      </c>
      <c r="AC13" s="827">
        <f>'LB '!AJ367</f>
        <v>0</v>
      </c>
      <c r="AD13" s="827">
        <f>'LB '!AK367</f>
        <v>0</v>
      </c>
      <c r="AE13" s="828">
        <f>'LB '!AL367</f>
        <v>7.25</v>
      </c>
      <c r="AF13" s="823">
        <f>'LB '!AM367</f>
        <v>1784233369</v>
      </c>
      <c r="AG13" s="824">
        <f>'LB '!AN367</f>
        <v>1319293607</v>
      </c>
      <c r="AH13" s="824">
        <f>'LB '!AO367</f>
        <v>4353956</v>
      </c>
      <c r="AI13" s="824">
        <f>'LB '!AP367</f>
        <v>447392869</v>
      </c>
      <c r="AJ13" s="824">
        <f>'LB '!AQ367</f>
        <v>13192937</v>
      </c>
      <c r="AK13" s="824">
        <f>'LB '!AR367</f>
        <v>0</v>
      </c>
      <c r="AL13" s="828">
        <f>'LB '!AS367</f>
        <v>2082.4189000000006</v>
      </c>
    </row>
    <row r="14" spans="1:38" x14ac:dyDescent="0.2">
      <c r="A14" s="820" t="s">
        <v>239</v>
      </c>
      <c r="B14" s="672">
        <f>FR!I103</f>
        <v>323156813</v>
      </c>
      <c r="C14" s="323">
        <f>FR!J103</f>
        <v>239118127</v>
      </c>
      <c r="D14" s="323">
        <f>FR!K103</f>
        <v>617025</v>
      </c>
      <c r="E14" s="323">
        <f>FR!L103</f>
        <v>81030480</v>
      </c>
      <c r="F14" s="323">
        <f>FR!M103</f>
        <v>2391181</v>
      </c>
      <c r="G14" s="323">
        <f>FR!N103</f>
        <v>0</v>
      </c>
      <c r="H14" s="748">
        <f>FR!O103</f>
        <v>392.82560000000007</v>
      </c>
      <c r="I14" s="382">
        <f>FR!P103</f>
        <v>-754400</v>
      </c>
      <c r="J14" s="323">
        <f>FR!Q103</f>
        <v>405377</v>
      </c>
      <c r="K14" s="323">
        <f>FR!R103</f>
        <v>0</v>
      </c>
      <c r="L14" s="323">
        <f>FR!S103</f>
        <v>0</v>
      </c>
      <c r="M14" s="323">
        <f>FR!T103</f>
        <v>0</v>
      </c>
      <c r="N14" s="323">
        <f>FR!U103</f>
        <v>0</v>
      </c>
      <c r="O14" s="323">
        <f>FR!V103</f>
        <v>-349023</v>
      </c>
      <c r="P14" s="323">
        <f>FR!W103</f>
        <v>754400</v>
      </c>
      <c r="Q14" s="323">
        <f>FR!X103</f>
        <v>0</v>
      </c>
      <c r="R14" s="323">
        <f>FR!Y103</f>
        <v>0</v>
      </c>
      <c r="S14" s="323">
        <f>FR!Z103</f>
        <v>754400</v>
      </c>
      <c r="T14" s="323">
        <f>FR!AA103</f>
        <v>405377</v>
      </c>
      <c r="U14" s="323">
        <f>FR!AB103</f>
        <v>137017</v>
      </c>
      <c r="V14" s="323">
        <f>FR!AC103</f>
        <v>-3492</v>
      </c>
      <c r="W14" s="323">
        <f>FR!AD103</f>
        <v>0</v>
      </c>
      <c r="X14" s="832">
        <f>FR!AE103</f>
        <v>538902</v>
      </c>
      <c r="Y14" s="834">
        <f>FR!AF103</f>
        <v>-0.83000000000000007</v>
      </c>
      <c r="Z14" s="324">
        <f>FR!AG103</f>
        <v>0.97</v>
      </c>
      <c r="AA14" s="324">
        <f>FR!AH103</f>
        <v>0</v>
      </c>
      <c r="AB14" s="324">
        <f>FR!AI103</f>
        <v>0</v>
      </c>
      <c r="AC14" s="324">
        <f>FR!AJ103</f>
        <v>0</v>
      </c>
      <c r="AD14" s="324">
        <f>FR!AK103</f>
        <v>0</v>
      </c>
      <c r="AE14" s="748">
        <f>FR!AL103</f>
        <v>0.14000000000000001</v>
      </c>
      <c r="AF14" s="672">
        <f>FR!AM103</f>
        <v>323695715</v>
      </c>
      <c r="AG14" s="323">
        <f>FR!AN103</f>
        <v>238769104</v>
      </c>
      <c r="AH14" s="323">
        <f>FR!AO103</f>
        <v>1371425</v>
      </c>
      <c r="AI14" s="323">
        <f>FR!AP103</f>
        <v>81167497</v>
      </c>
      <c r="AJ14" s="323">
        <f>FR!AQ103</f>
        <v>2387689</v>
      </c>
      <c r="AK14" s="323">
        <f>FR!AR103</f>
        <v>0</v>
      </c>
      <c r="AL14" s="748">
        <f>FR!AS103</f>
        <v>392.96560000000005</v>
      </c>
    </row>
    <row r="15" spans="1:38" s="3" customFormat="1" x14ac:dyDescent="0.2">
      <c r="A15" s="820" t="s">
        <v>240</v>
      </c>
      <c r="B15" s="672">
        <f>JN!I152</f>
        <v>638504982</v>
      </c>
      <c r="C15" s="323">
        <f>JN!J152</f>
        <v>473222931</v>
      </c>
      <c r="D15" s="323">
        <f>JN!K152</f>
        <v>448776</v>
      </c>
      <c r="E15" s="323">
        <f>JN!L152</f>
        <v>160101039</v>
      </c>
      <c r="F15" s="323">
        <f>JN!M152</f>
        <v>4732236</v>
      </c>
      <c r="G15" s="323">
        <f>JN!N152</f>
        <v>0</v>
      </c>
      <c r="H15" s="748">
        <f>JN!O152</f>
        <v>756.4799999999999</v>
      </c>
      <c r="I15" s="382">
        <f>JN!P152</f>
        <v>-299184</v>
      </c>
      <c r="J15" s="323">
        <f>JN!Q152</f>
        <v>-114769</v>
      </c>
      <c r="K15" s="323">
        <f>JN!R152</f>
        <v>0</v>
      </c>
      <c r="L15" s="323">
        <f>JN!S152</f>
        <v>0</v>
      </c>
      <c r="M15" s="323">
        <f>JN!T152</f>
        <v>0</v>
      </c>
      <c r="N15" s="323">
        <f>JN!U152</f>
        <v>0</v>
      </c>
      <c r="O15" s="323">
        <f>JN!V152</f>
        <v>-413953</v>
      </c>
      <c r="P15" s="323">
        <f>JN!W152</f>
        <v>299184</v>
      </c>
      <c r="Q15" s="323">
        <f>JN!X152</f>
        <v>0</v>
      </c>
      <c r="R15" s="323">
        <f>JN!Y152</f>
        <v>0</v>
      </c>
      <c r="S15" s="323">
        <f>JN!Z152</f>
        <v>299184</v>
      </c>
      <c r="T15" s="323">
        <f>JN!AA152</f>
        <v>-114769</v>
      </c>
      <c r="U15" s="323">
        <f>JN!AB152</f>
        <v>-38791</v>
      </c>
      <c r="V15" s="323">
        <f>JN!AC152</f>
        <v>-4139</v>
      </c>
      <c r="W15" s="323">
        <f>JN!AD152</f>
        <v>0</v>
      </c>
      <c r="X15" s="832">
        <f>JN!AE152</f>
        <v>-157699</v>
      </c>
      <c r="Y15" s="834">
        <f>JN!AF152</f>
        <v>-0.22</v>
      </c>
      <c r="Z15" s="324">
        <f>JN!AG152</f>
        <v>-3.9999999999999994E-2</v>
      </c>
      <c r="AA15" s="324">
        <f>JN!AH152</f>
        <v>0</v>
      </c>
      <c r="AB15" s="324">
        <f>JN!AI152</f>
        <v>0</v>
      </c>
      <c r="AC15" s="324">
        <f>JN!AJ152</f>
        <v>0</v>
      </c>
      <c r="AD15" s="324">
        <f>JN!AK152</f>
        <v>0</v>
      </c>
      <c r="AE15" s="748">
        <f>JN!AL152</f>
        <v>-0.26</v>
      </c>
      <c r="AF15" s="672">
        <f>JN!AM152</f>
        <v>638347283</v>
      </c>
      <c r="AG15" s="323">
        <f>JN!AN152</f>
        <v>472808978</v>
      </c>
      <c r="AH15" s="323">
        <f>JN!AO152</f>
        <v>747960</v>
      </c>
      <c r="AI15" s="323">
        <f>JN!AP152</f>
        <v>160062248</v>
      </c>
      <c r="AJ15" s="323">
        <f>JN!AQ152</f>
        <v>4728097</v>
      </c>
      <c r="AK15" s="323">
        <f>JN!AR152</f>
        <v>0</v>
      </c>
      <c r="AL15" s="748">
        <f>JN!AS152</f>
        <v>756.22000000000014</v>
      </c>
    </row>
    <row r="16" spans="1:38" x14ac:dyDescent="0.2">
      <c r="A16" s="820" t="s">
        <v>241</v>
      </c>
      <c r="B16" s="672">
        <f>TA!I80</f>
        <v>258216267</v>
      </c>
      <c r="C16" s="323">
        <f>TA!J80</f>
        <v>190843969</v>
      </c>
      <c r="D16" s="323">
        <f>TA!K80</f>
        <v>716439</v>
      </c>
      <c r="E16" s="323">
        <f>TA!L80</f>
        <v>64747419</v>
      </c>
      <c r="F16" s="323">
        <f>TA!M80</f>
        <v>1908440</v>
      </c>
      <c r="G16" s="323">
        <f>TA!N80</f>
        <v>0</v>
      </c>
      <c r="H16" s="748">
        <f>TA!O80</f>
        <v>320.25999999999993</v>
      </c>
      <c r="I16" s="382">
        <f>TA!P80</f>
        <v>-327652</v>
      </c>
      <c r="J16" s="323">
        <f>TA!Q80</f>
        <v>796409</v>
      </c>
      <c r="K16" s="323">
        <f>TA!R80</f>
        <v>0</v>
      </c>
      <c r="L16" s="323">
        <f>TA!S80</f>
        <v>0</v>
      </c>
      <c r="M16" s="323">
        <f>TA!T80</f>
        <v>0</v>
      </c>
      <c r="N16" s="323">
        <f>TA!U80</f>
        <v>0</v>
      </c>
      <c r="O16" s="323">
        <f>TA!V80</f>
        <v>468757</v>
      </c>
      <c r="P16" s="323">
        <f>TA!W80</f>
        <v>327652</v>
      </c>
      <c r="Q16" s="323">
        <f>TA!X80</f>
        <v>0</v>
      </c>
      <c r="R16" s="323">
        <f>TA!Y80</f>
        <v>0</v>
      </c>
      <c r="S16" s="323">
        <f>TA!Z80</f>
        <v>327652</v>
      </c>
      <c r="T16" s="323">
        <f>TA!AA80</f>
        <v>796409</v>
      </c>
      <c r="U16" s="323">
        <f>TA!AB80</f>
        <v>269186</v>
      </c>
      <c r="V16" s="323">
        <f>TA!AC80</f>
        <v>4688</v>
      </c>
      <c r="W16" s="323">
        <f>TA!AD80</f>
        <v>0</v>
      </c>
      <c r="X16" s="832">
        <f>TA!AE80</f>
        <v>1070283</v>
      </c>
      <c r="Y16" s="834">
        <f>TA!AF80</f>
        <v>-0.24000000000000002</v>
      </c>
      <c r="Z16" s="324">
        <f>TA!AG80</f>
        <v>1.58</v>
      </c>
      <c r="AA16" s="324">
        <f>TA!AH80</f>
        <v>0</v>
      </c>
      <c r="AB16" s="324">
        <f>TA!AI80</f>
        <v>0</v>
      </c>
      <c r="AC16" s="324">
        <f>TA!AJ80</f>
        <v>0</v>
      </c>
      <c r="AD16" s="324">
        <f>TA!AK80</f>
        <v>0</v>
      </c>
      <c r="AE16" s="748">
        <f>TA!AL80</f>
        <v>1.3399999999999999</v>
      </c>
      <c r="AF16" s="672">
        <f>TA!AM80</f>
        <v>259286550</v>
      </c>
      <c r="AG16" s="323">
        <f>TA!AN80</f>
        <v>191312726</v>
      </c>
      <c r="AH16" s="323">
        <f>TA!AO80</f>
        <v>1044091</v>
      </c>
      <c r="AI16" s="323">
        <f>TA!AP80</f>
        <v>65016605</v>
      </c>
      <c r="AJ16" s="323">
        <f>TA!AQ80</f>
        <v>1913128</v>
      </c>
      <c r="AK16" s="323">
        <f>TA!AR80</f>
        <v>0</v>
      </c>
      <c r="AL16" s="748">
        <f>TA!AS80</f>
        <v>321.59999999999997</v>
      </c>
    </row>
    <row r="17" spans="1:38" x14ac:dyDescent="0.2">
      <c r="A17" s="820" t="s">
        <v>242</v>
      </c>
      <c r="B17" s="672">
        <f>ŽB!I58</f>
        <v>140589152</v>
      </c>
      <c r="C17" s="323">
        <f>ŽB!J58</f>
        <v>103972943</v>
      </c>
      <c r="D17" s="323">
        <f>ŽB!K58</f>
        <v>324084</v>
      </c>
      <c r="E17" s="323">
        <f>ŽB!L58</f>
        <v>35252396</v>
      </c>
      <c r="F17" s="323">
        <f>ŽB!M58</f>
        <v>1039729</v>
      </c>
      <c r="G17" s="323">
        <f>ŽB!N58</f>
        <v>0</v>
      </c>
      <c r="H17" s="748">
        <f>ŽB!O58</f>
        <v>165.42</v>
      </c>
      <c r="I17" s="382">
        <f>ŽB!P58</f>
        <v>-216056</v>
      </c>
      <c r="J17" s="323">
        <f>ŽB!Q58</f>
        <v>143278</v>
      </c>
      <c r="K17" s="323">
        <f>ŽB!R58</f>
        <v>0</v>
      </c>
      <c r="L17" s="323">
        <f>ŽB!S58</f>
        <v>0</v>
      </c>
      <c r="M17" s="323">
        <f>ŽB!T58</f>
        <v>0</v>
      </c>
      <c r="N17" s="323">
        <f>ŽB!U58</f>
        <v>0</v>
      </c>
      <c r="O17" s="323">
        <f>ŽB!V58</f>
        <v>-72778</v>
      </c>
      <c r="P17" s="323">
        <f>ŽB!W58</f>
        <v>216056</v>
      </c>
      <c r="Q17" s="323">
        <f>ŽB!X58</f>
        <v>0</v>
      </c>
      <c r="R17" s="323">
        <f>ŽB!Y58</f>
        <v>0</v>
      </c>
      <c r="S17" s="323">
        <f>ŽB!Z58</f>
        <v>216056</v>
      </c>
      <c r="T17" s="323">
        <f>ŽB!AA58</f>
        <v>143278</v>
      </c>
      <c r="U17" s="323">
        <f>ŽB!AB58</f>
        <v>48429</v>
      </c>
      <c r="V17" s="323">
        <f>ŽB!AC58</f>
        <v>-729</v>
      </c>
      <c r="W17" s="323">
        <f>ŽB!AD58</f>
        <v>0</v>
      </c>
      <c r="X17" s="832">
        <f>ŽB!AE58</f>
        <v>190978</v>
      </c>
      <c r="Y17" s="834">
        <f>ŽB!AF58</f>
        <v>-0.18</v>
      </c>
      <c r="Z17" s="324">
        <f>ŽB!AG58</f>
        <v>0.38</v>
      </c>
      <c r="AA17" s="324">
        <f>ŽB!AH58</f>
        <v>0</v>
      </c>
      <c r="AB17" s="324">
        <f>ŽB!AI58</f>
        <v>0</v>
      </c>
      <c r="AC17" s="324">
        <f>ŽB!AJ58</f>
        <v>0</v>
      </c>
      <c r="AD17" s="324">
        <f>ŽB!AK58</f>
        <v>0</v>
      </c>
      <c r="AE17" s="748">
        <f>ŽB!AL58</f>
        <v>0.2</v>
      </c>
      <c r="AF17" s="672">
        <f>ŽB!AM58</f>
        <v>140780130</v>
      </c>
      <c r="AG17" s="323">
        <f>ŽB!AN58</f>
        <v>103900165</v>
      </c>
      <c r="AH17" s="323">
        <f>ŽB!AO58</f>
        <v>540140</v>
      </c>
      <c r="AI17" s="323">
        <f>ŽB!AP58</f>
        <v>35300825</v>
      </c>
      <c r="AJ17" s="323">
        <f>ŽB!AQ58</f>
        <v>1039000</v>
      </c>
      <c r="AK17" s="323">
        <f>ŽB!AR58</f>
        <v>0</v>
      </c>
      <c r="AL17" s="748">
        <f>ŽB!AS58</f>
        <v>165.62000000000003</v>
      </c>
    </row>
    <row r="18" spans="1:38" s="3" customFormat="1" x14ac:dyDescent="0.2">
      <c r="A18" s="820" t="s">
        <v>243</v>
      </c>
      <c r="B18" s="672">
        <f>ČL!I225</f>
        <v>975651717</v>
      </c>
      <c r="C18" s="323">
        <f>ČL!J225</f>
        <v>722053341</v>
      </c>
      <c r="D18" s="323">
        <f>ČL!K225</f>
        <v>1736784</v>
      </c>
      <c r="E18" s="323">
        <f>ČL!L225</f>
        <v>244641060</v>
      </c>
      <c r="F18" s="323">
        <f>ČL!M225</f>
        <v>7220532</v>
      </c>
      <c r="G18" s="323">
        <f>ČL!N225</f>
        <v>0</v>
      </c>
      <c r="H18" s="748">
        <f>ČL!O225</f>
        <v>1155.3200000000004</v>
      </c>
      <c r="I18" s="382">
        <f>ČL!P225</f>
        <v>-935456</v>
      </c>
      <c r="J18" s="323">
        <f>ČL!Q225</f>
        <v>600492</v>
      </c>
      <c r="K18" s="323">
        <f>ČL!R225</f>
        <v>0</v>
      </c>
      <c r="L18" s="323">
        <f>ČL!S225</f>
        <v>0</v>
      </c>
      <c r="M18" s="323">
        <f>ČL!T225</f>
        <v>0</v>
      </c>
      <c r="N18" s="323">
        <f>ČL!U225</f>
        <v>0</v>
      </c>
      <c r="O18" s="323">
        <f>ČL!V225</f>
        <v>-334964</v>
      </c>
      <c r="P18" s="323">
        <f>ČL!W225</f>
        <v>935456</v>
      </c>
      <c r="Q18" s="323">
        <f>ČL!X225</f>
        <v>0</v>
      </c>
      <c r="R18" s="323">
        <f>ČL!Y225</f>
        <v>0</v>
      </c>
      <c r="S18" s="323">
        <f>ČL!Z225</f>
        <v>935456</v>
      </c>
      <c r="T18" s="323">
        <f>ČL!AA225</f>
        <v>600492</v>
      </c>
      <c r="U18" s="323">
        <f>ČL!AB225</f>
        <v>202967</v>
      </c>
      <c r="V18" s="323">
        <f>ČL!AC225</f>
        <v>-3349</v>
      </c>
      <c r="W18" s="323">
        <f>ČL!AD225</f>
        <v>0</v>
      </c>
      <c r="X18" s="832">
        <f>ČL!AE225</f>
        <v>800110</v>
      </c>
      <c r="Y18" s="834">
        <f>ČL!AF225</f>
        <v>-1.3400000000000005</v>
      </c>
      <c r="Z18" s="324">
        <f>ČL!AG225</f>
        <v>1.4900000000000004</v>
      </c>
      <c r="AA18" s="324">
        <f>ČL!AH225</f>
        <v>0</v>
      </c>
      <c r="AB18" s="324">
        <f>ČL!AI225</f>
        <v>0</v>
      </c>
      <c r="AC18" s="324">
        <f>ČL!AJ225</f>
        <v>0</v>
      </c>
      <c r="AD18" s="324">
        <f>ČL!AK225</f>
        <v>0</v>
      </c>
      <c r="AE18" s="748">
        <f>ČL!AL225</f>
        <v>0.14999999999999955</v>
      </c>
      <c r="AF18" s="672">
        <f>ČL!AM225</f>
        <v>976451827</v>
      </c>
      <c r="AG18" s="323">
        <f>ČL!AN225</f>
        <v>721718377</v>
      </c>
      <c r="AH18" s="323">
        <f>ČL!AO225</f>
        <v>2672240</v>
      </c>
      <c r="AI18" s="323">
        <f>ČL!AP225</f>
        <v>244844027</v>
      </c>
      <c r="AJ18" s="323">
        <f>ČL!AQ225</f>
        <v>7217183</v>
      </c>
      <c r="AK18" s="323">
        <f>ČL!AR225</f>
        <v>0</v>
      </c>
      <c r="AL18" s="748">
        <f>ČL!AS225</f>
        <v>1155.4700000000005</v>
      </c>
    </row>
    <row r="19" spans="1:38" x14ac:dyDescent="0.2">
      <c r="A19" s="820" t="s">
        <v>244</v>
      </c>
      <c r="B19" s="672">
        <f>NB!I97</f>
        <v>316938822</v>
      </c>
      <c r="C19" s="323">
        <f>NB!J97</f>
        <v>233957292</v>
      </c>
      <c r="D19" s="323">
        <f>NB!K97</f>
        <v>1169203</v>
      </c>
      <c r="E19" s="323">
        <f>NB!L97</f>
        <v>79472754</v>
      </c>
      <c r="F19" s="323">
        <f>NB!M97</f>
        <v>2339573</v>
      </c>
      <c r="G19" s="323">
        <f>NB!N97</f>
        <v>0</v>
      </c>
      <c r="H19" s="748">
        <f>NB!O97</f>
        <v>374.03310000000005</v>
      </c>
      <c r="I19" s="382">
        <f>NB!P97</f>
        <v>-445680</v>
      </c>
      <c r="J19" s="323">
        <f>NB!Q97</f>
        <v>938845</v>
      </c>
      <c r="K19" s="323">
        <f>NB!R97</f>
        <v>0</v>
      </c>
      <c r="L19" s="323">
        <f>NB!S97</f>
        <v>385585</v>
      </c>
      <c r="M19" s="323">
        <f>NB!T97</f>
        <v>0</v>
      </c>
      <c r="N19" s="323">
        <f>NB!U97</f>
        <v>0</v>
      </c>
      <c r="O19" s="323">
        <f>NB!V97</f>
        <v>878750</v>
      </c>
      <c r="P19" s="323">
        <f>NB!W97</f>
        <v>445680</v>
      </c>
      <c r="Q19" s="323">
        <f>NB!X97</f>
        <v>0</v>
      </c>
      <c r="R19" s="323">
        <f>NB!Y97</f>
        <v>138450</v>
      </c>
      <c r="S19" s="323">
        <f>NB!Z97</f>
        <v>584130</v>
      </c>
      <c r="T19" s="323">
        <f>NB!AA97</f>
        <v>1462880</v>
      </c>
      <c r="U19" s="323">
        <f>NB!AB97</f>
        <v>494454</v>
      </c>
      <c r="V19" s="323">
        <f>NB!AC97</f>
        <v>8787</v>
      </c>
      <c r="W19" s="323">
        <f>NB!AD97</f>
        <v>0</v>
      </c>
      <c r="X19" s="832">
        <f>NB!AE97</f>
        <v>1966121</v>
      </c>
      <c r="Y19" s="834">
        <f>NB!AF97</f>
        <v>-0.33</v>
      </c>
      <c r="Z19" s="324">
        <f>NB!AG97</f>
        <v>2.3600000000000003</v>
      </c>
      <c r="AA19" s="324">
        <f>NB!AH97</f>
        <v>0.7</v>
      </c>
      <c r="AB19" s="324">
        <f>NB!AI97</f>
        <v>0</v>
      </c>
      <c r="AC19" s="324">
        <f>NB!AJ97</f>
        <v>0</v>
      </c>
      <c r="AD19" s="324">
        <f>NB!AK97</f>
        <v>0</v>
      </c>
      <c r="AE19" s="748">
        <f>NB!AL97</f>
        <v>2.7300000000000004</v>
      </c>
      <c r="AF19" s="672">
        <f>NB!AM97</f>
        <v>318904943</v>
      </c>
      <c r="AG19" s="323">
        <f>NB!AN97</f>
        <v>234836042</v>
      </c>
      <c r="AH19" s="323">
        <f>NB!AO97</f>
        <v>1753333</v>
      </c>
      <c r="AI19" s="323">
        <f>NB!AP97</f>
        <v>79967208</v>
      </c>
      <c r="AJ19" s="323">
        <f>NB!AQ97</f>
        <v>2348360</v>
      </c>
      <c r="AK19" s="323">
        <f>NB!AR97</f>
        <v>0</v>
      </c>
      <c r="AL19" s="748">
        <f>NB!AS97</f>
        <v>376.76310000000001</v>
      </c>
    </row>
    <row r="20" spans="1:38" x14ac:dyDescent="0.2">
      <c r="A20" s="820" t="s">
        <v>245</v>
      </c>
      <c r="B20" s="672">
        <f>SM!I130</f>
        <v>345898932</v>
      </c>
      <c r="C20" s="323">
        <f>SM!J130</f>
        <v>255460377</v>
      </c>
      <c r="D20" s="323">
        <f>SM!K130</f>
        <v>1149733</v>
      </c>
      <c r="E20" s="323">
        <f>SM!L130</f>
        <v>86734220</v>
      </c>
      <c r="F20" s="323">
        <f>SM!M130</f>
        <v>2554602</v>
      </c>
      <c r="G20" s="323">
        <f>SM!N130</f>
        <v>0</v>
      </c>
      <c r="H20" s="748">
        <f>SM!O130</f>
        <v>401.62900000000002</v>
      </c>
      <c r="I20" s="382">
        <f>SM!P130</f>
        <v>-494800</v>
      </c>
      <c r="J20" s="323">
        <f>SM!Q130</f>
        <v>389873</v>
      </c>
      <c r="K20" s="323">
        <f>SM!R130</f>
        <v>0</v>
      </c>
      <c r="L20" s="323">
        <f>SM!S130</f>
        <v>0</v>
      </c>
      <c r="M20" s="323">
        <f>SM!T130</f>
        <v>0</v>
      </c>
      <c r="N20" s="323">
        <f>SM!U130</f>
        <v>0</v>
      </c>
      <c r="O20" s="323">
        <f>SM!V130</f>
        <v>-104927</v>
      </c>
      <c r="P20" s="323">
        <f>SM!W130</f>
        <v>494800</v>
      </c>
      <c r="Q20" s="323">
        <f>SM!X130</f>
        <v>0</v>
      </c>
      <c r="R20" s="323">
        <f>SM!Y130</f>
        <v>116001</v>
      </c>
      <c r="S20" s="323">
        <f>SM!Z130</f>
        <v>610801</v>
      </c>
      <c r="T20" s="323">
        <f>SM!AA130</f>
        <v>505874</v>
      </c>
      <c r="U20" s="323">
        <f>SM!AB130</f>
        <v>170984</v>
      </c>
      <c r="V20" s="323">
        <f>SM!AC130</f>
        <v>-1049</v>
      </c>
      <c r="W20" s="323">
        <f>SM!AD130</f>
        <v>0</v>
      </c>
      <c r="X20" s="832">
        <f>SM!AE130</f>
        <v>675809</v>
      </c>
      <c r="Y20" s="834">
        <f>SM!AF130</f>
        <v>-0.42000000000000004</v>
      </c>
      <c r="Z20" s="324">
        <f>SM!AG130</f>
        <v>0.92999999999999994</v>
      </c>
      <c r="AA20" s="324">
        <f>SM!AH130</f>
        <v>0</v>
      </c>
      <c r="AB20" s="324">
        <f>SM!AI130</f>
        <v>0</v>
      </c>
      <c r="AC20" s="324">
        <f>SM!AJ130</f>
        <v>0</v>
      </c>
      <c r="AD20" s="324">
        <f>SM!AK130</f>
        <v>0</v>
      </c>
      <c r="AE20" s="748">
        <f>SM!AL130</f>
        <v>0.51</v>
      </c>
      <c r="AF20" s="672">
        <f>SM!AM130</f>
        <v>346574741</v>
      </c>
      <c r="AG20" s="323">
        <f>SM!AN130</f>
        <v>255355450</v>
      </c>
      <c r="AH20" s="323">
        <f>SM!AO130</f>
        <v>1760534</v>
      </c>
      <c r="AI20" s="323">
        <f>SM!AP130</f>
        <v>86905204</v>
      </c>
      <c r="AJ20" s="323">
        <f>SM!AQ130</f>
        <v>2553553</v>
      </c>
      <c r="AK20" s="323">
        <f>SM!AR130</f>
        <v>0</v>
      </c>
      <c r="AL20" s="748">
        <f>SM!AS130</f>
        <v>402.13900000000001</v>
      </c>
    </row>
    <row r="21" spans="1:38" s="3" customFormat="1" x14ac:dyDescent="0.2">
      <c r="A21" s="820" t="s">
        <v>246</v>
      </c>
      <c r="B21" s="672">
        <f>JI!I108</f>
        <v>271005373</v>
      </c>
      <c r="C21" s="323">
        <f>JI!J108</f>
        <v>200730791</v>
      </c>
      <c r="D21" s="323">
        <f>JI!K108</f>
        <v>314100</v>
      </c>
      <c r="E21" s="323">
        <f>JI!L108</f>
        <v>67953175</v>
      </c>
      <c r="F21" s="323">
        <f>JI!M108</f>
        <v>2007307</v>
      </c>
      <c r="G21" s="323">
        <f>JI!N108</f>
        <v>0</v>
      </c>
      <c r="H21" s="748">
        <f>JI!O108</f>
        <v>322.2441</v>
      </c>
      <c r="I21" s="382">
        <f>JI!P108</f>
        <v>-209400</v>
      </c>
      <c r="J21" s="323">
        <f>JI!Q108</f>
        <v>48334</v>
      </c>
      <c r="K21" s="323">
        <f>JI!R108</f>
        <v>0</v>
      </c>
      <c r="L21" s="323">
        <f>JI!S108</f>
        <v>0</v>
      </c>
      <c r="M21" s="323">
        <f>JI!T108</f>
        <v>0</v>
      </c>
      <c r="N21" s="323">
        <f>JI!U108</f>
        <v>0</v>
      </c>
      <c r="O21" s="323">
        <f>JI!V108</f>
        <v>-161066</v>
      </c>
      <c r="P21" s="323">
        <f>JI!W108</f>
        <v>209400</v>
      </c>
      <c r="Q21" s="323">
        <f>JI!X108</f>
        <v>0</v>
      </c>
      <c r="R21" s="323">
        <f>JI!Y108</f>
        <v>0</v>
      </c>
      <c r="S21" s="323">
        <f>JI!Z108</f>
        <v>209400</v>
      </c>
      <c r="T21" s="323">
        <f>JI!AA108</f>
        <v>48334</v>
      </c>
      <c r="U21" s="323">
        <f>JI!AB108</f>
        <v>16337</v>
      </c>
      <c r="V21" s="323">
        <f>JI!AC108</f>
        <v>-1611</v>
      </c>
      <c r="W21" s="323">
        <f>JI!AD108</f>
        <v>0</v>
      </c>
      <c r="X21" s="832">
        <f>JI!AE108</f>
        <v>63060</v>
      </c>
      <c r="Y21" s="834">
        <f>JI!AF108</f>
        <v>-0.17</v>
      </c>
      <c r="Z21" s="324">
        <f>JI!AG108</f>
        <v>0.12</v>
      </c>
      <c r="AA21" s="324">
        <f>JI!AH108</f>
        <v>0</v>
      </c>
      <c r="AB21" s="324">
        <f>JI!AI108</f>
        <v>0</v>
      </c>
      <c r="AC21" s="324">
        <f>JI!AJ108</f>
        <v>0</v>
      </c>
      <c r="AD21" s="324">
        <f>JI!AK108</f>
        <v>0</v>
      </c>
      <c r="AE21" s="748">
        <f>JI!AL108</f>
        <v>-5.0000000000000017E-2</v>
      </c>
      <c r="AF21" s="672">
        <f>JI!AM108</f>
        <v>271068433</v>
      </c>
      <c r="AG21" s="323">
        <f>JI!AN108</f>
        <v>200569725</v>
      </c>
      <c r="AH21" s="323">
        <f>JI!AO108</f>
        <v>523500</v>
      </c>
      <c r="AI21" s="323">
        <f>JI!AP108</f>
        <v>67969512</v>
      </c>
      <c r="AJ21" s="323">
        <f>JI!AQ108</f>
        <v>2005696</v>
      </c>
      <c r="AK21" s="323">
        <f>JI!AR108</f>
        <v>0</v>
      </c>
      <c r="AL21" s="748">
        <f>JI!AS108</f>
        <v>322.19410000000005</v>
      </c>
    </row>
    <row r="22" spans="1:38" ht="13.5" thickBot="1" x14ac:dyDescent="0.25">
      <c r="A22" s="821" t="s">
        <v>247</v>
      </c>
      <c r="B22" s="896">
        <f>TU!I152</f>
        <v>453211574</v>
      </c>
      <c r="C22" s="897">
        <f>TU!J152</f>
        <v>335546113</v>
      </c>
      <c r="D22" s="897">
        <f>TU!K152</f>
        <v>669224</v>
      </c>
      <c r="E22" s="897">
        <f>TU!L152</f>
        <v>113640780</v>
      </c>
      <c r="F22" s="897">
        <f>TU!M152</f>
        <v>3355457</v>
      </c>
      <c r="G22" s="897">
        <f>TU!N152</f>
        <v>0</v>
      </c>
      <c r="H22" s="914">
        <f>TU!O152</f>
        <v>532.84320000000002</v>
      </c>
      <c r="I22" s="907">
        <f>TU!P152</f>
        <v>-356880</v>
      </c>
      <c r="J22" s="897">
        <f>TU!Q152</f>
        <v>449848</v>
      </c>
      <c r="K22" s="897">
        <f>TU!R152</f>
        <v>0</v>
      </c>
      <c r="L22" s="897">
        <f>TU!S152</f>
        <v>-58376</v>
      </c>
      <c r="M22" s="897">
        <f>TU!T152</f>
        <v>0</v>
      </c>
      <c r="N22" s="897">
        <f>TU!U152</f>
        <v>0</v>
      </c>
      <c r="O22" s="897">
        <f>TU!V152</f>
        <v>34592</v>
      </c>
      <c r="P22" s="897">
        <f>TU!W152</f>
        <v>356880</v>
      </c>
      <c r="Q22" s="897">
        <f>TU!X152</f>
        <v>0</v>
      </c>
      <c r="R22" s="897">
        <f>TU!Y152</f>
        <v>0</v>
      </c>
      <c r="S22" s="897">
        <f>TU!Z152</f>
        <v>356880</v>
      </c>
      <c r="T22" s="897">
        <f>TU!AA152</f>
        <v>391472</v>
      </c>
      <c r="U22" s="897">
        <f>TU!AB152</f>
        <v>132318</v>
      </c>
      <c r="V22" s="897">
        <f>TU!AC152</f>
        <v>346</v>
      </c>
      <c r="W22" s="897">
        <f>TU!AD152</f>
        <v>0</v>
      </c>
      <c r="X22" s="908">
        <f>TU!AE152</f>
        <v>524136</v>
      </c>
      <c r="Y22" s="913">
        <f>TU!AF152</f>
        <v>-0.10000000000000005</v>
      </c>
      <c r="Z22" s="911">
        <f>TU!AG152</f>
        <v>1.0900000000000001</v>
      </c>
      <c r="AA22" s="911">
        <f>TU!AH152</f>
        <v>-0.13</v>
      </c>
      <c r="AB22" s="911">
        <f>TU!AI152</f>
        <v>0</v>
      </c>
      <c r="AC22" s="911">
        <f>TU!AJ152</f>
        <v>0</v>
      </c>
      <c r="AD22" s="911">
        <f>TU!AK152</f>
        <v>0</v>
      </c>
      <c r="AE22" s="914">
        <f>TU!AL152</f>
        <v>0.85999999999999976</v>
      </c>
      <c r="AF22" s="896">
        <f>TU!AM152</f>
        <v>453735710</v>
      </c>
      <c r="AG22" s="897">
        <f>TU!AN152</f>
        <v>335580705</v>
      </c>
      <c r="AH22" s="897">
        <f>TU!AO152</f>
        <v>1026104</v>
      </c>
      <c r="AI22" s="897">
        <f>TU!AP152</f>
        <v>113773098</v>
      </c>
      <c r="AJ22" s="897">
        <f>TU!AQ152</f>
        <v>3355803</v>
      </c>
      <c r="AK22" s="897">
        <f>TU!AR152</f>
        <v>0</v>
      </c>
      <c r="AL22" s="914">
        <f>TU!AS152</f>
        <v>533.70320000000004</v>
      </c>
    </row>
    <row r="23" spans="1:38" s="3" customFormat="1" ht="13.5" thickBot="1" x14ac:dyDescent="0.25">
      <c r="A23" s="822" t="s">
        <v>248</v>
      </c>
      <c r="B23" s="889">
        <f>SUM(B13:B22)</f>
        <v>5503304342</v>
      </c>
      <c r="C23" s="890">
        <f>SUM(C13:C22)</f>
        <v>4071230419</v>
      </c>
      <c r="D23" s="890">
        <f>SUM(D13:D22)</f>
        <v>11424324</v>
      </c>
      <c r="E23" s="890">
        <f t="shared" ref="E23:H23" si="0">SUM(E13:E22)</f>
        <v>1379937297</v>
      </c>
      <c r="F23" s="890">
        <f t="shared" si="0"/>
        <v>40712302</v>
      </c>
      <c r="G23" s="890">
        <f t="shared" si="0"/>
        <v>0</v>
      </c>
      <c r="H23" s="891">
        <f t="shared" si="0"/>
        <v>6496.2239000000009</v>
      </c>
      <c r="I23" s="892">
        <f t="shared" ref="I23:AL23" si="1">SUM(I13:I22)</f>
        <v>-4114508</v>
      </c>
      <c r="J23" s="890">
        <f t="shared" si="1"/>
        <v>6495213</v>
      </c>
      <c r="K23" s="890">
        <f t="shared" si="1"/>
        <v>0</v>
      </c>
      <c r="L23" s="890">
        <f t="shared" si="1"/>
        <v>533755</v>
      </c>
      <c r="M23" s="890">
        <f t="shared" si="1"/>
        <v>0</v>
      </c>
      <c r="N23" s="890">
        <f t="shared" si="1"/>
        <v>0</v>
      </c>
      <c r="O23" s="890">
        <f t="shared" si="1"/>
        <v>2914460</v>
      </c>
      <c r="P23" s="890">
        <f t="shared" si="1"/>
        <v>4114508</v>
      </c>
      <c r="Q23" s="890">
        <f t="shared" si="1"/>
        <v>0</v>
      </c>
      <c r="R23" s="890">
        <f t="shared" si="1"/>
        <v>254451</v>
      </c>
      <c r="S23" s="890">
        <f t="shared" si="1"/>
        <v>4368959</v>
      </c>
      <c r="T23" s="890">
        <f t="shared" si="1"/>
        <v>7283419</v>
      </c>
      <c r="U23" s="890">
        <f t="shared" si="1"/>
        <v>2461796</v>
      </c>
      <c r="V23" s="890">
        <f t="shared" si="1"/>
        <v>29144</v>
      </c>
      <c r="W23" s="890">
        <f t="shared" si="1"/>
        <v>0</v>
      </c>
      <c r="X23" s="893">
        <f t="shared" si="1"/>
        <v>9774359</v>
      </c>
      <c r="Y23" s="894">
        <f t="shared" si="1"/>
        <v>-3.8500000000000005</v>
      </c>
      <c r="Z23" s="895">
        <f>SUM(Z13:Z22)</f>
        <v>15.78</v>
      </c>
      <c r="AA23" s="895">
        <f t="shared" si="1"/>
        <v>0.93999999999999984</v>
      </c>
      <c r="AB23" s="895">
        <f t="shared" si="1"/>
        <v>0</v>
      </c>
      <c r="AC23" s="895">
        <f t="shared" si="1"/>
        <v>0</v>
      </c>
      <c r="AD23" s="895">
        <f t="shared" si="1"/>
        <v>0</v>
      </c>
      <c r="AE23" s="891">
        <f t="shared" si="1"/>
        <v>12.869999999999997</v>
      </c>
      <c r="AF23" s="889">
        <f t="shared" si="1"/>
        <v>5513078701</v>
      </c>
      <c r="AG23" s="890">
        <f t="shared" si="1"/>
        <v>4074144879</v>
      </c>
      <c r="AH23" s="890">
        <f t="shared" si="1"/>
        <v>15793283</v>
      </c>
      <c r="AI23" s="890">
        <f t="shared" si="1"/>
        <v>1382399093</v>
      </c>
      <c r="AJ23" s="890">
        <f t="shared" si="1"/>
        <v>40741446</v>
      </c>
      <c r="AK23" s="890">
        <f t="shared" si="1"/>
        <v>0</v>
      </c>
      <c r="AL23" s="891">
        <f t="shared" si="1"/>
        <v>6509.0939000000008</v>
      </c>
    </row>
    <row r="24" spans="1:38" x14ac:dyDescent="0.2">
      <c r="A24" s="17" t="s">
        <v>249</v>
      </c>
      <c r="B24" s="328">
        <f>SUM(C23:G23)</f>
        <v>5503304342</v>
      </c>
      <c r="C24" s="328"/>
      <c r="D24" s="328"/>
      <c r="E24" s="328"/>
      <c r="F24" s="328"/>
      <c r="G24" s="328"/>
      <c r="H24" s="329"/>
      <c r="I24" s="328">
        <f>P23</f>
        <v>4114508</v>
      </c>
      <c r="J24" s="329"/>
      <c r="K24" s="329"/>
      <c r="L24" s="329"/>
      <c r="M24" s="328"/>
      <c r="N24" s="329"/>
      <c r="O24" s="330">
        <f>SUM(I23:N23)</f>
        <v>2914460</v>
      </c>
      <c r="P24" s="330">
        <f>I23</f>
        <v>-4114508</v>
      </c>
      <c r="Q24" s="331"/>
      <c r="R24" s="331"/>
      <c r="S24" s="330">
        <f>SUM(P23:R23)</f>
        <v>4368959</v>
      </c>
      <c r="T24" s="330">
        <f>O23+S23</f>
        <v>7283419</v>
      </c>
      <c r="U24" s="332"/>
      <c r="V24" s="332"/>
      <c r="W24" s="330"/>
      <c r="X24" s="330">
        <f>SUM(T23:W23)</f>
        <v>9774359</v>
      </c>
      <c r="Y24" s="333"/>
      <c r="Z24" s="333"/>
      <c r="AA24" s="333"/>
      <c r="AB24" s="333"/>
      <c r="AC24" s="381"/>
      <c r="AD24" s="333"/>
      <c r="AE24" s="381">
        <f>SUM(Y23:AD23)</f>
        <v>12.87</v>
      </c>
      <c r="AF24" s="328">
        <f>SUM(AG23:AK23)</f>
        <v>5513078701</v>
      </c>
      <c r="AG24" s="328"/>
      <c r="AH24" s="58"/>
      <c r="AI24" s="330"/>
      <c r="AJ24" s="330"/>
      <c r="AK24" s="330"/>
      <c r="AL24" s="329"/>
    </row>
    <row r="25" spans="1:38" ht="13.5" thickBot="1" x14ac:dyDescent="0.25">
      <c r="A25" s="17"/>
      <c r="B25" s="328">
        <f>SUM(C26:G26)</f>
        <v>5503304342</v>
      </c>
      <c r="C25" s="328"/>
      <c r="D25" s="328"/>
      <c r="E25" s="328"/>
      <c r="F25" s="328"/>
      <c r="G25" s="328"/>
      <c r="H25" s="329"/>
      <c r="I25" s="328">
        <f>P26</f>
        <v>4114508</v>
      </c>
      <c r="J25" s="329"/>
      <c r="K25" s="329"/>
      <c r="L25" s="329"/>
      <c r="M25" s="328"/>
      <c r="N25" s="329"/>
      <c r="O25" s="330">
        <f>SUM(I26:N26)</f>
        <v>2914460</v>
      </c>
      <c r="P25" s="330"/>
      <c r="Q25" s="331"/>
      <c r="R25" s="331"/>
      <c r="S25" s="330">
        <f>SUM(P26:R26)</f>
        <v>4368959</v>
      </c>
      <c r="T25" s="330">
        <f>O26+S26</f>
        <v>7283419</v>
      </c>
      <c r="U25" s="332"/>
      <c r="V25" s="332"/>
      <c r="W25" s="330"/>
      <c r="X25" s="330">
        <f>SUM(T26:W26)</f>
        <v>9774359</v>
      </c>
      <c r="Y25" s="333"/>
      <c r="Z25" s="333"/>
      <c r="AA25" s="333"/>
      <c r="AB25" s="333"/>
      <c r="AC25" s="381"/>
      <c r="AD25" s="333"/>
      <c r="AE25" s="381">
        <f>SUM(Y26:AD26)</f>
        <v>12.87</v>
      </c>
      <c r="AF25" s="328">
        <f>AG26+AH26+AI26+AJ26</f>
        <v>5513078701</v>
      </c>
      <c r="AG25" s="328"/>
      <c r="AH25" s="58"/>
      <c r="AI25" s="48"/>
      <c r="AJ25" s="48"/>
      <c r="AK25" s="48"/>
      <c r="AL25" s="329"/>
    </row>
    <row r="26" spans="1:38" ht="13.5" thickBot="1" x14ac:dyDescent="0.25">
      <c r="A26" s="19" t="s">
        <v>0</v>
      </c>
      <c r="B26" s="898">
        <f>SUM(B27:B36)</f>
        <v>5503304342</v>
      </c>
      <c r="C26" s="899">
        <f t="shared" ref="C26:H26" si="2">SUM(C27:C36)</f>
        <v>4071230419</v>
      </c>
      <c r="D26" s="899">
        <f t="shared" si="2"/>
        <v>11424324</v>
      </c>
      <c r="E26" s="899">
        <f t="shared" si="2"/>
        <v>1379937297</v>
      </c>
      <c r="F26" s="899">
        <f t="shared" si="2"/>
        <v>40712302</v>
      </c>
      <c r="G26" s="899">
        <f t="shared" si="2"/>
        <v>0</v>
      </c>
      <c r="H26" s="900">
        <f t="shared" si="2"/>
        <v>6496.2239</v>
      </c>
      <c r="I26" s="901">
        <f t="shared" ref="I26:AL26" si="3">SUM(I27:I36)</f>
        <v>-4114508</v>
      </c>
      <c r="J26" s="899">
        <f t="shared" si="3"/>
        <v>6495213</v>
      </c>
      <c r="K26" s="899">
        <f t="shared" si="3"/>
        <v>0</v>
      </c>
      <c r="L26" s="899">
        <f t="shared" si="3"/>
        <v>533755</v>
      </c>
      <c r="M26" s="899">
        <f t="shared" si="3"/>
        <v>0</v>
      </c>
      <c r="N26" s="902">
        <f t="shared" si="3"/>
        <v>0</v>
      </c>
      <c r="O26" s="898">
        <f t="shared" si="3"/>
        <v>2914460</v>
      </c>
      <c r="P26" s="899">
        <f t="shared" si="3"/>
        <v>4114508</v>
      </c>
      <c r="Q26" s="899">
        <f t="shared" si="3"/>
        <v>0</v>
      </c>
      <c r="R26" s="899">
        <f t="shared" si="3"/>
        <v>254451</v>
      </c>
      <c r="S26" s="899">
        <f t="shared" si="3"/>
        <v>4368959</v>
      </c>
      <c r="T26" s="899">
        <f t="shared" si="3"/>
        <v>7283419</v>
      </c>
      <c r="U26" s="899">
        <f t="shared" si="3"/>
        <v>2461796</v>
      </c>
      <c r="V26" s="899">
        <f t="shared" si="3"/>
        <v>29144</v>
      </c>
      <c r="W26" s="899">
        <f t="shared" si="3"/>
        <v>0</v>
      </c>
      <c r="X26" s="902">
        <f t="shared" si="3"/>
        <v>9774359</v>
      </c>
      <c r="Y26" s="903">
        <f t="shared" si="3"/>
        <v>-3.8499999999999996</v>
      </c>
      <c r="Z26" s="904">
        <f t="shared" si="3"/>
        <v>15.78</v>
      </c>
      <c r="AA26" s="904">
        <f t="shared" si="3"/>
        <v>0.93999999999999984</v>
      </c>
      <c r="AB26" s="904">
        <f t="shared" si="3"/>
        <v>0</v>
      </c>
      <c r="AC26" s="904">
        <f t="shared" si="3"/>
        <v>0</v>
      </c>
      <c r="AD26" s="904">
        <f t="shared" si="3"/>
        <v>0</v>
      </c>
      <c r="AE26" s="900">
        <f t="shared" si="3"/>
        <v>12.870000000000001</v>
      </c>
      <c r="AF26" s="898">
        <f t="shared" si="3"/>
        <v>5513078701</v>
      </c>
      <c r="AG26" s="899">
        <f t="shared" si="3"/>
        <v>4074144879</v>
      </c>
      <c r="AH26" s="899">
        <f t="shared" si="3"/>
        <v>15793283</v>
      </c>
      <c r="AI26" s="899">
        <f t="shared" si="3"/>
        <v>1382399093</v>
      </c>
      <c r="AJ26" s="899">
        <f t="shared" si="3"/>
        <v>40741446</v>
      </c>
      <c r="AK26" s="899">
        <f t="shared" si="3"/>
        <v>0</v>
      </c>
      <c r="AL26" s="900">
        <f t="shared" si="3"/>
        <v>6509.0938999999989</v>
      </c>
    </row>
    <row r="27" spans="1:38" x14ac:dyDescent="0.2">
      <c r="A27" s="1">
        <v>3111</v>
      </c>
      <c r="B27" s="905">
        <f>'LB '!I371+FR!I107+JN!I156+TA!I84+ŽB!I62+ČL!I229+NB!I101+SM!I134+JI!I112+TU!I156</f>
        <v>1227260579</v>
      </c>
      <c r="C27" s="434">
        <f>'LB '!J371+FR!J107+JN!J156+TA!J84+ŽB!J62+ČL!J229+NB!J101+SM!J134+JI!J112+TU!J156</f>
        <v>909204075</v>
      </c>
      <c r="D27" s="434">
        <f>'LB '!K371+FR!K107+JN!K156+TA!K84+ŽB!K62+ČL!K229+NB!K101+SM!K134+JI!K112+TU!K156</f>
        <v>1235796</v>
      </c>
      <c r="E27" s="434">
        <f>'LB '!L371+FR!L107+JN!L156+TA!L84+ŽB!L62+ČL!L229+NB!L101+SM!L134+JI!L112+TU!L156</f>
        <v>307728670</v>
      </c>
      <c r="F27" s="434">
        <f>'LB '!M371+FR!M107+JN!M156+TA!M84+ŽB!M62+ČL!M229+NB!M101+SM!M134+JI!M112+TU!M156</f>
        <v>9092038</v>
      </c>
      <c r="G27" s="434">
        <f>'LB '!N371+FR!N107+JN!N156+TA!N84+ŽB!N62+ČL!N229+NB!N101+SM!N134+JI!N112+TU!N156</f>
        <v>0</v>
      </c>
      <c r="H27" s="697">
        <f>'LB '!O371+FR!O107+JN!O156+TA!O84+ŽB!O62+ČL!O229+NB!O101+SM!O134+JI!O112+TU!O156</f>
        <v>1581.6716000000001</v>
      </c>
      <c r="I27" s="906">
        <f>'LB '!P371+FR!P107+JN!P156+TA!P84+ŽB!P62+ČL!P229+NB!P101+SM!P134+JI!P112+TU!P156</f>
        <v>-628824</v>
      </c>
      <c r="J27" s="434">
        <f>'LB '!Q371+FR!Q107+JN!Q156+TA!Q84+ŽB!Q62+ČL!Q229+NB!Q101+SM!Q134+JI!Q112+TU!Q156</f>
        <v>768892</v>
      </c>
      <c r="K27" s="434">
        <f>'LB '!R371+FR!R107+JN!R156+TA!R84+ŽB!R62+ČL!R229+NB!R101+SM!R134+JI!R112+TU!R156</f>
        <v>0</v>
      </c>
      <c r="L27" s="434">
        <f>'LB '!S371+FR!S107+JN!S156+TA!S84+ŽB!S62+ČL!S229+NB!S101+SM!S134+JI!S112+TU!S156</f>
        <v>0</v>
      </c>
      <c r="M27" s="434">
        <f>'LB '!T371+FR!T107+JN!T156+TA!T84+ŽB!T62+ČL!T229+NB!T101+SM!T134+JI!T112+TU!T156</f>
        <v>0</v>
      </c>
      <c r="N27" s="434">
        <f>'LB '!U371+FR!U107+JN!U156+TA!U84+ŽB!U62+ČL!U229+NB!U101+SM!U134+JI!U112+TU!U156</f>
        <v>0</v>
      </c>
      <c r="O27" s="434">
        <f>'LB '!V371+FR!V107+JN!V156+TA!V84+ŽB!V62+ČL!V229+NB!V101+SM!V134+JI!V112+TU!V156</f>
        <v>140068</v>
      </c>
      <c r="P27" s="434">
        <f>'LB '!W371+FR!W107+JN!W156+TA!W84+ŽB!W62+ČL!W229+NB!W101+SM!W134+JI!W112+TU!W156</f>
        <v>628824</v>
      </c>
      <c r="Q27" s="434">
        <f>'LB '!X371+FR!X107+JN!X156+TA!X84+ŽB!X62+ČL!X229+NB!X101+SM!X134+JI!X112+TU!X156</f>
        <v>0</v>
      </c>
      <c r="R27" s="434">
        <f>'LB '!Y371+FR!Y107+JN!Y156+TA!Y84+ŽB!Y62+ČL!Y229+NB!Y101+SM!Y134+JI!Y112+TU!Y156</f>
        <v>0</v>
      </c>
      <c r="S27" s="434">
        <f>'LB '!Z371+FR!Z107+JN!Z156+TA!Z84+ŽB!Z62+ČL!Z229+NB!Z101+SM!Z134+JI!Z112+TU!Z156</f>
        <v>628824</v>
      </c>
      <c r="T27" s="434">
        <f>'LB '!AA371+FR!AA107+JN!AA156+TA!AA84+ŽB!AA62+ČL!AA229+NB!AA101+SM!AA134+JI!AA112+TU!AA156</f>
        <v>768892</v>
      </c>
      <c r="U27" s="434">
        <f>'LB '!AB371+FR!AB107+JN!AB156+TA!AB84+ŽB!AB62+ČL!AB229+NB!AB101+SM!AB134+JI!AB112+TU!AB156</f>
        <v>259886</v>
      </c>
      <c r="V27" s="434">
        <f>'LB '!AC371+FR!AC107+JN!AC156+TA!AC84+ŽB!AC62+ČL!AC229+NB!AC101+SM!AC134+JI!AC112+TU!AC156</f>
        <v>1401</v>
      </c>
      <c r="W27" s="434">
        <f>'LB '!AD371+FR!AD107+JN!AD156+TA!AD84+ŽB!AD62+ČL!AD229+NB!AD101+SM!AD134+JI!AD112+TU!AD156</f>
        <v>0</v>
      </c>
      <c r="X27" s="909">
        <f>'LB '!AE371+FR!AE107+JN!AE156+TA!AE84+ŽB!AE62+ČL!AE229+NB!AE101+SM!AE134+JI!AE112+TU!AE156</f>
        <v>1030179</v>
      </c>
      <c r="Y27" s="915">
        <f>'LB '!AF371+FR!AF107+JN!AF156+TA!AF84+ŽB!AF62+ČL!AF229+NB!AF101+SM!AF134+JI!AF112+TU!AF156</f>
        <v>-0.28000000000000003</v>
      </c>
      <c r="Z27" s="912">
        <f>'LB '!AG371+FR!AG107+JN!AG156+TA!AG84+ŽB!AG62+ČL!AG229+NB!AG101+SM!AG134+JI!AG112+TU!AG156</f>
        <v>1.94</v>
      </c>
      <c r="AA27" s="912">
        <f>'LB '!AH371+FR!AH107+JN!AH156+TA!AH84+ŽB!AH62+ČL!AH229+NB!AH101+SM!AH134+JI!AH112+TU!AH156</f>
        <v>0</v>
      </c>
      <c r="AB27" s="912">
        <f>'LB '!AI371+FR!AI107+JN!AI156+TA!AI84+ŽB!AI62+ČL!AI229+NB!AI101+SM!AI134+JI!AI112+TU!AI156</f>
        <v>0</v>
      </c>
      <c r="AC27" s="912">
        <f>'LB '!AJ371+FR!AJ107+JN!AJ156+TA!AJ84+ŽB!AJ62+ČL!AJ229+NB!AJ101+SM!AJ134+JI!AJ112+TU!AJ156</f>
        <v>0</v>
      </c>
      <c r="AD27" s="912">
        <f>'LB '!AK371+FR!AK107+JN!AK156+TA!AK84+ŽB!AK62+ČL!AK229+NB!AK101+SM!AK134+JI!AK112+TU!AK156</f>
        <v>0</v>
      </c>
      <c r="AE27" s="697">
        <f>'LB '!AL371+FR!AL107+JN!AL156+TA!AL84+ŽB!AL62+ČL!AL229+NB!AL101+SM!AL134+JI!AL112+TU!AL156</f>
        <v>1.6599999999999997</v>
      </c>
      <c r="AF27" s="905">
        <f>'LB '!AM371+FR!AM107+JN!AM156+TA!AM84+ŽB!AM62+ČL!AM229+NB!AM101+SM!AM134+JI!AM112+TU!AM156</f>
        <v>1228290758</v>
      </c>
      <c r="AG27" s="434">
        <f>'LB '!AN371+FR!AN107+JN!AN156+TA!AN84+ŽB!AN62+ČL!AN229+NB!AN101+SM!AN134+JI!AN112+TU!AN156</f>
        <v>909344143</v>
      </c>
      <c r="AH27" s="434">
        <f>'LB '!AO371+FR!AO107+JN!AO156+TA!AO84+ŽB!AO62+ČL!AO229+NB!AO101+SM!AO134+JI!AO112+TU!AO156</f>
        <v>1864620</v>
      </c>
      <c r="AI27" s="434">
        <f>'LB '!AP371+FR!AP107+JN!AP156+TA!AP84+ŽB!AP62+ČL!AP229+NB!AP101+SM!AP134+JI!AP112+TU!AP156</f>
        <v>307988556</v>
      </c>
      <c r="AJ27" s="434">
        <f>'LB '!AQ371+FR!AQ107+JN!AQ156+TA!AQ84+ŽB!AQ62+ČL!AQ229+NB!AQ101+SM!AQ134+JI!AQ112+TU!AQ156</f>
        <v>9093439</v>
      </c>
      <c r="AK27" s="434">
        <f>'LB '!AR371+FR!AR107+JN!AR156+TA!AR84+ŽB!AR62+ČL!AR229+NB!AR101+SM!AR134+JI!AR112+TU!AR156</f>
        <v>0</v>
      </c>
      <c r="AL27" s="697">
        <f>'LB '!AS371+FR!AS107+JN!AS156+TA!AS84+ŽB!AS62+ČL!AS229+NB!AS101+SM!AS134+JI!AS112+TU!AS156</f>
        <v>1583.3316000000002</v>
      </c>
    </row>
    <row r="28" spans="1:38" x14ac:dyDescent="0.2">
      <c r="A28" s="2">
        <v>3113</v>
      </c>
      <c r="B28" s="119">
        <f>'LB '!I372+FR!I108+JN!I157+TA!I85+ŽB!I63+ČL!I230+NB!I102+SM!I135+JI!I113+TU!I157</f>
        <v>3035484477</v>
      </c>
      <c r="C28" s="14">
        <f>'LB '!J372+FR!J108+JN!J157+TA!J85+ŽB!J63+ČL!J230+NB!J102+SM!J135+JI!J113+TU!J157</f>
        <v>2246098912</v>
      </c>
      <c r="D28" s="14">
        <f>'LB '!K372+FR!K108+JN!K157+TA!K85+ŽB!K63+ČL!K230+NB!K102+SM!K135+JI!K113+TU!K157</f>
        <v>5787107</v>
      </c>
      <c r="E28" s="14">
        <f>'LB '!L372+FR!L108+JN!L157+TA!L85+ŽB!L63+ČL!L230+NB!L102+SM!L135+JI!L113+TU!L157</f>
        <v>761137465</v>
      </c>
      <c r="F28" s="14">
        <f>'LB '!M372+FR!M108+JN!M157+TA!M85+ŽB!M63+ČL!M230+NB!M102+SM!M135+JI!M113+TU!M157</f>
        <v>22460993</v>
      </c>
      <c r="G28" s="14">
        <f>'LB '!N372+FR!N108+JN!N157+TA!N85+ŽB!N63+ČL!N230+NB!N102+SM!N135+JI!N113+TU!N157</f>
        <v>0</v>
      </c>
      <c r="H28" s="633">
        <f>'LB '!O372+FR!O108+JN!O157+TA!O85+ŽB!O63+ČL!O230+NB!O102+SM!O135+JI!O113+TU!O157</f>
        <v>3390.7076000000002</v>
      </c>
      <c r="I28" s="120">
        <f>'LB '!P372+FR!P108+JN!P157+TA!P85+ŽB!P63+ČL!P230+NB!P102+SM!P135+JI!P113+TU!P157</f>
        <v>-1533776</v>
      </c>
      <c r="J28" s="14">
        <f>'LB '!Q372+FR!Q108+JN!Q157+TA!Q85+ŽB!Q63+ČL!Q230+NB!Q102+SM!Q135+JI!Q113+TU!Q157</f>
        <v>4504042</v>
      </c>
      <c r="K28" s="14">
        <f>'LB '!R372+FR!R108+JN!R157+TA!R85+ŽB!R63+ČL!R230+NB!R102+SM!R135+JI!R113+TU!R157</f>
        <v>0</v>
      </c>
      <c r="L28" s="14">
        <f>'LB '!S372+FR!S108+JN!S157+TA!S85+ŽB!S63+ČL!S230+NB!S102+SM!S135+JI!S113+TU!S157</f>
        <v>592131</v>
      </c>
      <c r="M28" s="14">
        <f>'LB '!T372+FR!T108+JN!T157+TA!T85+ŽB!T63+ČL!T230+NB!T102+SM!T135+JI!T113+TU!T157</f>
        <v>0</v>
      </c>
      <c r="N28" s="14">
        <f>'LB '!U372+FR!U108+JN!U157+TA!U85+ŽB!U63+ČL!U230+NB!U102+SM!U135+JI!U113+TU!U157</f>
        <v>0</v>
      </c>
      <c r="O28" s="14">
        <f>'LB '!V372+FR!V108+JN!V157+TA!V85+ŽB!V63+ČL!V230+NB!V102+SM!V135+JI!V113+TU!V157</f>
        <v>3562397</v>
      </c>
      <c r="P28" s="14">
        <f>'LB '!W372+FR!W108+JN!W157+TA!W85+ŽB!W63+ČL!W230+NB!W102+SM!W135+JI!W113+TU!W157</f>
        <v>1533776</v>
      </c>
      <c r="Q28" s="14">
        <f>'LB '!X372+FR!X108+JN!X157+TA!X85+ŽB!X63+ČL!X230+NB!X102+SM!X135+JI!X113+TU!X157</f>
        <v>0</v>
      </c>
      <c r="R28" s="14">
        <f>'LB '!Y372+FR!Y108+JN!Y157+TA!Y85+ŽB!Y63+ČL!Y230+NB!Y102+SM!Y135+JI!Y113+TU!Y157</f>
        <v>254451</v>
      </c>
      <c r="S28" s="14">
        <f>'LB '!Z372+FR!Z108+JN!Z157+TA!Z85+ŽB!Z63+ČL!Z230+NB!Z102+SM!Z135+JI!Z113+TU!Z157</f>
        <v>1788227</v>
      </c>
      <c r="T28" s="14">
        <f>'LB '!AA372+FR!AA108+JN!AA157+TA!AA85+ŽB!AA63+ČL!AA230+NB!AA102+SM!AA135+JI!AA113+TU!AA157</f>
        <v>5350624</v>
      </c>
      <c r="U28" s="14">
        <f>'LB '!AB372+FR!AB108+JN!AB157+TA!AB85+ŽB!AB63+ČL!AB230+NB!AB102+SM!AB135+JI!AB113+TU!AB157</f>
        <v>1808513</v>
      </c>
      <c r="V28" s="14">
        <f>'LB '!AC372+FR!AC108+JN!AC157+TA!AC85+ŽB!AC63+ČL!AC230+NB!AC102+SM!AC135+JI!AC113+TU!AC157</f>
        <v>35622</v>
      </c>
      <c r="W28" s="14">
        <f>'LB '!AD372+FR!AD108+JN!AD157+TA!AD85+ŽB!AD63+ČL!AD230+NB!AD102+SM!AD135+JI!AD113+TU!AD157</f>
        <v>0</v>
      </c>
      <c r="X28" s="626">
        <f>'LB '!AE372+FR!AE108+JN!AE157+TA!AE85+ŽB!AE63+ČL!AE230+NB!AE102+SM!AE135+JI!AE113+TU!AE157</f>
        <v>7194759</v>
      </c>
      <c r="Y28" s="632">
        <f>'LB '!AF372+FR!AF108+JN!AF157+TA!AF85+ŽB!AF63+ČL!AF230+NB!AF102+SM!AF135+JI!AF113+TU!AF157</f>
        <v>-1.5599999999999998</v>
      </c>
      <c r="Z28" s="11">
        <f>'LB '!AG372+FR!AG108+JN!AG157+TA!AG85+ŽB!AG63+ČL!AG230+NB!AG102+SM!AG135+JI!AG113+TU!AG157</f>
        <v>11.02</v>
      </c>
      <c r="AA28" s="11">
        <f>'LB '!AH372+FR!AH108+JN!AH157+TA!AH85+ŽB!AH63+ČL!AH230+NB!AH102+SM!AH135+JI!AH113+TU!AH157</f>
        <v>1.0699999999999998</v>
      </c>
      <c r="AB28" s="11">
        <f>'LB '!AI372+FR!AI108+JN!AI157+TA!AI85+ŽB!AI63+ČL!AI230+NB!AI102+SM!AI135+JI!AI113+TU!AI157</f>
        <v>0</v>
      </c>
      <c r="AC28" s="11">
        <f>'LB '!AJ372+FR!AJ108+JN!AJ157+TA!AJ85+ŽB!AJ63+ČL!AJ230+NB!AJ102+SM!AJ135+JI!AJ113+TU!AJ157</f>
        <v>0</v>
      </c>
      <c r="AD28" s="11">
        <f>'LB '!AK372+FR!AK108+JN!AK157+TA!AK85+ŽB!AK63+ČL!AK230+NB!AK102+SM!AK135+JI!AK113+TU!AK157</f>
        <v>0</v>
      </c>
      <c r="AE28" s="633">
        <f>'LB '!AL372+FR!AL108+JN!AL157+TA!AL85+ŽB!AL63+ČL!AL230+NB!AL102+SM!AL135+JI!AL113+TU!AL157</f>
        <v>10.530000000000001</v>
      </c>
      <c r="AF28" s="119">
        <f>'LB '!AM372+FR!AM108+JN!AM157+TA!AM85+ŽB!AM63+ČL!AM230+NB!AM102+SM!AM135+JI!AM113+TU!AM157</f>
        <v>3042679236</v>
      </c>
      <c r="AG28" s="14">
        <f>'LB '!AN372+FR!AN108+JN!AN157+TA!AN85+ŽB!AN63+ČL!AN230+NB!AN102+SM!AN135+JI!AN113+TU!AN157</f>
        <v>2249661309</v>
      </c>
      <c r="AH28" s="14">
        <f>'LB '!AO372+FR!AO108+JN!AO157+TA!AO85+ŽB!AO63+ČL!AO230+NB!AO102+SM!AO135+JI!AO113+TU!AO157</f>
        <v>7575334</v>
      </c>
      <c r="AI28" s="14">
        <f>'LB '!AP372+FR!AP108+JN!AP157+TA!AP85+ŽB!AP63+ČL!AP230+NB!AP102+SM!AP135+JI!AP113+TU!AP157</f>
        <v>762945978</v>
      </c>
      <c r="AJ28" s="14">
        <f>'LB '!AQ372+FR!AQ108+JN!AQ157+TA!AQ85+ŽB!AQ63+ČL!AQ230+NB!AQ102+SM!AQ135+JI!AQ113+TU!AQ157</f>
        <v>22496615</v>
      </c>
      <c r="AK28" s="14">
        <f>'LB '!AR372+FR!AR108+JN!AR157+TA!AR85+ŽB!AR63+ČL!AR230+NB!AR102+SM!AR135+JI!AR113+TU!AR157</f>
        <v>0</v>
      </c>
      <c r="AL28" s="633">
        <f>'LB '!AS372+FR!AS108+JN!AS157+TA!AS85+ŽB!AS63+ČL!AS230+NB!AS102+SM!AS135+JI!AS113+TU!AS157</f>
        <v>3401.2375999999999</v>
      </c>
    </row>
    <row r="29" spans="1:38" x14ac:dyDescent="0.2">
      <c r="A29" s="2">
        <v>3114</v>
      </c>
      <c r="B29" s="119">
        <f>'LB '!I373+FR!I109+JN!I158+TA!I86+ŽB!I64+ČL!I231+NB!I103+SM!I136+JI!I114+TU!I158</f>
        <v>187575002</v>
      </c>
      <c r="C29" s="14">
        <f>'LB '!J373+FR!J109+JN!J158+TA!J86+ŽB!J64+ČL!J231+NB!J103+SM!J136+JI!J114+TU!J158</f>
        <v>139061263</v>
      </c>
      <c r="D29" s="14">
        <f>'LB '!K373+FR!K109+JN!K158+TA!K86+ŽB!K64+ČL!K231+NB!K103+SM!K136+JI!K114+TU!K158</f>
        <v>90000</v>
      </c>
      <c r="E29" s="14">
        <f>'LB '!L373+FR!L109+JN!L158+TA!L86+ŽB!L64+ČL!L231+NB!L103+SM!L136+JI!L114+TU!L158</f>
        <v>47033127</v>
      </c>
      <c r="F29" s="14">
        <f>'LB '!M373+FR!M109+JN!M158+TA!M86+ŽB!M64+ČL!M231+NB!M103+SM!M136+JI!M114+TU!M158</f>
        <v>1390612</v>
      </c>
      <c r="G29" s="14">
        <f>'LB '!N373+FR!N109+JN!N158+TA!N86+ŽB!N64+ČL!N231+NB!N103+SM!N136+JI!N114+TU!N158</f>
        <v>0</v>
      </c>
      <c r="H29" s="633">
        <f>'LB '!O373+FR!O109+JN!O158+TA!O86+ŽB!O64+ČL!O231+NB!O103+SM!O136+JI!O114+TU!O158</f>
        <v>212.6275</v>
      </c>
      <c r="I29" s="120">
        <f>'LB '!P373+FR!P109+JN!P158+TA!P86+ŽB!P64+ČL!P231+NB!P103+SM!P136+JI!P114+TU!P158</f>
        <v>-60000</v>
      </c>
      <c r="J29" s="14">
        <f>'LB '!Q373+FR!Q109+JN!Q158+TA!Q86+ŽB!Q64+ČL!Q231+NB!Q103+SM!Q136+JI!Q114+TU!Q158</f>
        <v>0</v>
      </c>
      <c r="K29" s="14">
        <f>'LB '!R373+FR!R109+JN!R158+TA!R86+ŽB!R64+ČL!R231+NB!R103+SM!R136+JI!R114+TU!R158</f>
        <v>0</v>
      </c>
      <c r="L29" s="14">
        <f>'LB '!S373+FR!S109+JN!S158+TA!S86+ŽB!S64+ČL!S231+NB!S103+SM!S136+JI!S114+TU!S158</f>
        <v>-58376</v>
      </c>
      <c r="M29" s="14">
        <f>'LB '!T373+FR!T109+JN!T158+TA!T86+ŽB!T64+ČL!T231+NB!T103+SM!T136+JI!T114+TU!T158</f>
        <v>0</v>
      </c>
      <c r="N29" s="14">
        <f>'LB '!U373+FR!U109+JN!U158+TA!U86+ŽB!U64+ČL!U231+NB!U103+SM!U136+JI!U114+TU!U158</f>
        <v>0</v>
      </c>
      <c r="O29" s="14">
        <f>'LB '!V373+FR!V109+JN!V158+TA!V86+ŽB!V64+ČL!V231+NB!V103+SM!V136+JI!V114+TU!V158</f>
        <v>-118376</v>
      </c>
      <c r="P29" s="14">
        <f>'LB '!W373+FR!W109+JN!W158+TA!W86+ŽB!W64+ČL!W231+NB!W103+SM!W136+JI!W114+TU!W158</f>
        <v>60000</v>
      </c>
      <c r="Q29" s="14">
        <f>'LB '!X373+FR!X109+JN!X158+TA!X86+ŽB!X64+ČL!X231+NB!X103+SM!X136+JI!X114+TU!X158</f>
        <v>0</v>
      </c>
      <c r="R29" s="14">
        <f>'LB '!Y373+FR!Y109+JN!Y158+TA!Y86+ŽB!Y64+ČL!Y231+NB!Y103+SM!Y136+JI!Y114+TU!Y158</f>
        <v>0</v>
      </c>
      <c r="S29" s="14">
        <f>'LB '!Z373+FR!Z109+JN!Z158+TA!Z86+ŽB!Z64+ČL!Z231+NB!Z103+SM!Z136+JI!Z114+TU!Z158</f>
        <v>60000</v>
      </c>
      <c r="T29" s="14">
        <f>'LB '!AA373+FR!AA109+JN!AA158+TA!AA86+ŽB!AA64+ČL!AA231+NB!AA103+SM!AA136+JI!AA114+TU!AA158</f>
        <v>-58376</v>
      </c>
      <c r="U29" s="14">
        <f>'LB '!AB373+FR!AB109+JN!AB158+TA!AB86+ŽB!AB64+ČL!AB231+NB!AB103+SM!AB136+JI!AB114+TU!AB158</f>
        <v>-19731</v>
      </c>
      <c r="V29" s="14">
        <f>'LB '!AC373+FR!AC109+JN!AC158+TA!AC86+ŽB!AC64+ČL!AC231+NB!AC103+SM!AC136+JI!AC114+TU!AC158</f>
        <v>-1184</v>
      </c>
      <c r="W29" s="14">
        <f>'LB '!AD373+FR!AD109+JN!AD158+TA!AD86+ŽB!AD64+ČL!AD231+NB!AD103+SM!AD136+JI!AD114+TU!AD158</f>
        <v>0</v>
      </c>
      <c r="X29" s="626">
        <f>'LB '!AE373+FR!AE109+JN!AE158+TA!AE86+ŽB!AE64+ČL!AE231+NB!AE103+SM!AE136+JI!AE114+TU!AE158</f>
        <v>-79291</v>
      </c>
      <c r="Y29" s="632">
        <f>'LB '!AF373+FR!AF109+JN!AF158+TA!AF86+ŽB!AF64+ČL!AF231+NB!AF103+SM!AF136+JI!AF114+TU!AF158</f>
        <v>-0.03</v>
      </c>
      <c r="Z29" s="11">
        <f>'LB '!AG373+FR!AG109+JN!AG158+TA!AG86+ŽB!AG64+ČL!AG231+NB!AG103+SM!AG136+JI!AG114+TU!AG158</f>
        <v>0</v>
      </c>
      <c r="AA29" s="11">
        <f>'LB '!AH373+FR!AH109+JN!AH158+TA!AH86+ŽB!AH64+ČL!AH231+NB!AH103+SM!AH136+JI!AH114+TU!AH158</f>
        <v>-0.13</v>
      </c>
      <c r="AB29" s="11">
        <f>'LB '!AI373+FR!AI109+JN!AI158+TA!AI86+ŽB!AI64+ČL!AI231+NB!AI103+SM!AI136+JI!AI114+TU!AI158</f>
        <v>0</v>
      </c>
      <c r="AC29" s="11">
        <f>'LB '!AJ373+FR!AJ109+JN!AJ158+TA!AJ86+ŽB!AJ64+ČL!AJ231+NB!AJ103+SM!AJ136+JI!AJ114+TU!AJ158</f>
        <v>0</v>
      </c>
      <c r="AD29" s="11">
        <f>'LB '!AK373+FR!AK109+JN!AK158+TA!AK86+ŽB!AK64+ČL!AK231+NB!AK103+SM!AK136+JI!AK114+TU!AK158</f>
        <v>0</v>
      </c>
      <c r="AE29" s="633">
        <f>'LB '!AL373+FR!AL109+JN!AL158+TA!AL86+ŽB!AL64+ČL!AL231+NB!AL103+SM!AL136+JI!AL114+TU!AL158</f>
        <v>-0.16</v>
      </c>
      <c r="AF29" s="119">
        <f>'LB '!AM373+FR!AM109+JN!AM158+TA!AM86+ŽB!AM64+ČL!AM231+NB!AM103+SM!AM136+JI!AM114+TU!AM158</f>
        <v>187495711</v>
      </c>
      <c r="AG29" s="14">
        <f>'LB '!AN373+FR!AN109+JN!AN158+TA!AN86+ŽB!AN64+ČL!AN231+NB!AN103+SM!AN136+JI!AN114+TU!AN158</f>
        <v>138942887</v>
      </c>
      <c r="AH29" s="14">
        <f>'LB '!AO373+FR!AO109+JN!AO158+TA!AO86+ŽB!AO64+ČL!AO231+NB!AO103+SM!AO136+JI!AO114+TU!AO158</f>
        <v>150000</v>
      </c>
      <c r="AI29" s="14">
        <f>'LB '!AP373+FR!AP109+JN!AP158+TA!AP86+ŽB!AP64+ČL!AP231+NB!AP103+SM!AP136+JI!AP114+TU!AP158</f>
        <v>47013396</v>
      </c>
      <c r="AJ29" s="14">
        <f>'LB '!AQ373+FR!AQ109+JN!AQ158+TA!AQ86+ŽB!AQ64+ČL!AQ231+NB!AQ103+SM!AQ136+JI!AQ114+TU!AQ158</f>
        <v>1389428</v>
      </c>
      <c r="AK29" s="14">
        <f>'LB '!AR373+FR!AR109+JN!AR158+TA!AR86+ŽB!AR64+ČL!AR231+NB!AR103+SM!AR136+JI!AR114+TU!AR158</f>
        <v>0</v>
      </c>
      <c r="AL29" s="633">
        <f>'LB '!AS373+FR!AS109+JN!AS158+TA!AS86+ŽB!AS64+ČL!AS231+NB!AS103+SM!AS136+JI!AS114+TU!AS158</f>
        <v>212.4675</v>
      </c>
    </row>
    <row r="30" spans="1:38" x14ac:dyDescent="0.2">
      <c r="A30" s="2">
        <v>3117</v>
      </c>
      <c r="B30" s="119">
        <f>'LB '!I374+FR!I110+JN!I159+TA!I87+ŽB!I65+ČL!I232+NB!I104+SM!I137+JI!I115+TU!I159</f>
        <v>302791096</v>
      </c>
      <c r="C30" s="14">
        <f>'LB '!J374+FR!J110+JN!J159+TA!J87+ŽB!J65+ČL!J232+NB!J104+SM!J137+JI!J115+TU!J159</f>
        <v>223712647</v>
      </c>
      <c r="D30" s="14">
        <f>'LB '!K374+FR!K110+JN!K159+TA!K87+ŽB!K65+ČL!K232+NB!K104+SM!K137+JI!K115+TU!K159</f>
        <v>916632</v>
      </c>
      <c r="E30" s="14">
        <f>'LB '!L374+FR!L110+JN!L159+TA!L87+ŽB!L65+ČL!L232+NB!L104+SM!L137+JI!L115+TU!L159</f>
        <v>75924691</v>
      </c>
      <c r="F30" s="14">
        <f>'LB '!M374+FR!M110+JN!M159+TA!M87+ŽB!M65+ČL!M232+NB!M104+SM!M137+JI!M115+TU!M159</f>
        <v>2237126</v>
      </c>
      <c r="G30" s="14">
        <f>'LB '!N374+FR!N110+JN!N159+TA!N87+ŽB!N65+ČL!N232+NB!N104+SM!N137+JI!N115+TU!N159</f>
        <v>0</v>
      </c>
      <c r="H30" s="633">
        <f>'LB '!O374+FR!O110+JN!O159+TA!O87+ŽB!O65+ČL!O232+NB!O104+SM!O137+JI!O115+TU!O159</f>
        <v>374.83120000000002</v>
      </c>
      <c r="I30" s="120">
        <f>'LB '!P374+FR!P110+JN!P159+TA!P87+ŽB!P65+ČL!P232+NB!P104+SM!P137+JI!P115+TU!P159</f>
        <v>-258468</v>
      </c>
      <c r="J30" s="14">
        <f>'LB '!Q374+FR!Q110+JN!Q159+TA!Q87+ŽB!Q65+ČL!Q232+NB!Q104+SM!Q137+JI!Q115+TU!Q159</f>
        <v>1222279</v>
      </c>
      <c r="K30" s="14">
        <f>'LB '!R374+FR!R110+JN!R159+TA!R87+ŽB!R65+ČL!R232+NB!R104+SM!R137+JI!R115+TU!R159</f>
        <v>0</v>
      </c>
      <c r="L30" s="14">
        <f>'LB '!S374+FR!S110+JN!S159+TA!S87+ŽB!S65+ČL!S232+NB!S104+SM!S137+JI!S115+TU!S159</f>
        <v>0</v>
      </c>
      <c r="M30" s="14">
        <f>'LB '!T374+FR!T110+JN!T159+TA!T87+ŽB!T65+ČL!T232+NB!T104+SM!T137+JI!T115+TU!T159</f>
        <v>0</v>
      </c>
      <c r="N30" s="14">
        <f>'LB '!U374+FR!U110+JN!U159+TA!U87+ŽB!U65+ČL!U232+NB!U104+SM!U137+JI!U115+TU!U159</f>
        <v>0</v>
      </c>
      <c r="O30" s="14">
        <f>'LB '!V374+FR!V110+JN!V159+TA!V87+ŽB!V65+ČL!V232+NB!V104+SM!V137+JI!V115+TU!V159</f>
        <v>963811</v>
      </c>
      <c r="P30" s="14">
        <f>'LB '!W374+FR!W110+JN!W159+TA!W87+ŽB!W65+ČL!W232+NB!W104+SM!W137+JI!W115+TU!W159</f>
        <v>258468</v>
      </c>
      <c r="Q30" s="14">
        <f>'LB '!X374+FR!X110+JN!X159+TA!X87+ŽB!X65+ČL!X232+NB!X104+SM!X137+JI!X115+TU!X159</f>
        <v>0</v>
      </c>
      <c r="R30" s="14">
        <f>'LB '!Y374+FR!Y110+JN!Y159+TA!Y87+ŽB!Y65+ČL!Y232+NB!Y104+SM!Y137+JI!Y115+TU!Y159</f>
        <v>0</v>
      </c>
      <c r="S30" s="14">
        <f>'LB '!Z374+FR!Z110+JN!Z159+TA!Z87+ŽB!Z65+ČL!Z232+NB!Z104+SM!Z137+JI!Z115+TU!Z159</f>
        <v>258468</v>
      </c>
      <c r="T30" s="14">
        <f>'LB '!AA374+FR!AA110+JN!AA159+TA!AA87+ŽB!AA65+ČL!AA232+NB!AA104+SM!AA137+JI!AA115+TU!AA159</f>
        <v>1222279</v>
      </c>
      <c r="U30" s="14">
        <f>'LB '!AB374+FR!AB110+JN!AB159+TA!AB87+ŽB!AB65+ČL!AB232+NB!AB104+SM!AB137+JI!AB115+TU!AB159</f>
        <v>413128</v>
      </c>
      <c r="V30" s="14">
        <f>'LB '!AC374+FR!AC110+JN!AC159+TA!AC87+ŽB!AC65+ČL!AC232+NB!AC104+SM!AC137+JI!AC115+TU!AC159</f>
        <v>9639</v>
      </c>
      <c r="W30" s="14">
        <f>'LB '!AD374+FR!AD110+JN!AD159+TA!AD87+ŽB!AD65+ČL!AD232+NB!AD104+SM!AD137+JI!AD115+TU!AD159</f>
        <v>0</v>
      </c>
      <c r="X30" s="626">
        <f>'LB '!AE374+FR!AE110+JN!AE159+TA!AE87+ŽB!AE65+ČL!AE232+NB!AE104+SM!AE137+JI!AE115+TU!AE159</f>
        <v>1645046</v>
      </c>
      <c r="Y30" s="632">
        <f>'LB '!AF374+FR!AF110+JN!AF159+TA!AF87+ŽB!AF65+ČL!AF232+NB!AF104+SM!AF137+JI!AF115+TU!AF159</f>
        <v>-0.13999999999999999</v>
      </c>
      <c r="Z30" s="11">
        <f>'LB '!AG374+FR!AG110+JN!AG159+TA!AG87+ŽB!AG65+ČL!AG232+NB!AG104+SM!AG137+JI!AG115+TU!AG159</f>
        <v>2.82</v>
      </c>
      <c r="AA30" s="11">
        <f>'LB '!AH374+FR!AH110+JN!AH159+TA!AH87+ŽB!AH65+ČL!AH232+NB!AH104+SM!AH137+JI!AH115+TU!AH159</f>
        <v>0</v>
      </c>
      <c r="AB30" s="11">
        <f>'LB '!AI374+FR!AI110+JN!AI159+TA!AI87+ŽB!AI65+ČL!AI232+NB!AI104+SM!AI137+JI!AI115+TU!AI159</f>
        <v>0</v>
      </c>
      <c r="AC30" s="11">
        <f>'LB '!AJ374+FR!AJ110+JN!AJ159+TA!AJ87+ŽB!AJ65+ČL!AJ232+NB!AJ104+SM!AJ137+JI!AJ115+TU!AJ159</f>
        <v>0</v>
      </c>
      <c r="AD30" s="11">
        <f>'LB '!AK374+FR!AK110+JN!AK159+TA!AK87+ŽB!AK65+ČL!AK232+NB!AK104+SM!AK137+JI!AK115+TU!AK159</f>
        <v>0</v>
      </c>
      <c r="AE30" s="633">
        <f>'LB '!AL374+FR!AL110+JN!AL159+TA!AL87+ŽB!AL65+ČL!AL232+NB!AL104+SM!AL137+JI!AL115+TU!AL159</f>
        <v>2.6800000000000006</v>
      </c>
      <c r="AF30" s="119">
        <f>'LB '!AM374+FR!AM110+JN!AM159+TA!AM87+ŽB!AM65+ČL!AM232+NB!AM104+SM!AM137+JI!AM115+TU!AM159</f>
        <v>304436142</v>
      </c>
      <c r="AG30" s="14">
        <f>'LB '!AN374+FR!AN110+JN!AN159+TA!AN87+ŽB!AN65+ČL!AN232+NB!AN104+SM!AN137+JI!AN115+TU!AN159</f>
        <v>224676458</v>
      </c>
      <c r="AH30" s="14">
        <f>'LB '!AO374+FR!AO110+JN!AO159+TA!AO87+ŽB!AO65+ČL!AO232+NB!AO104+SM!AO137+JI!AO115+TU!AO159</f>
        <v>1175100</v>
      </c>
      <c r="AI30" s="14">
        <f>'LB '!AP374+FR!AP110+JN!AP159+TA!AP87+ŽB!AP65+ČL!AP232+NB!AP104+SM!AP137+JI!AP115+TU!AP159</f>
        <v>76337819</v>
      </c>
      <c r="AJ30" s="14">
        <f>'LB '!AQ374+FR!AQ110+JN!AQ159+TA!AQ87+ŽB!AQ65+ČL!AQ232+NB!AQ104+SM!AQ137+JI!AQ115+TU!AQ159</f>
        <v>2246765</v>
      </c>
      <c r="AK30" s="14">
        <f>'LB '!AR374+FR!AR110+JN!AR159+TA!AR87+ŽB!AR65+ČL!AR232+NB!AR104+SM!AR137+JI!AR115+TU!AR159</f>
        <v>0</v>
      </c>
      <c r="AL30" s="633">
        <f>'LB '!AS374+FR!AS110+JN!AS159+TA!AS87+ŽB!AS65+ČL!AS232+NB!AS104+SM!AS137+JI!AS115+TU!AS159</f>
        <v>377.51120000000003</v>
      </c>
    </row>
    <row r="31" spans="1:38" x14ac:dyDescent="0.2">
      <c r="A31" s="2">
        <v>3122</v>
      </c>
      <c r="B31" s="119">
        <f>'LB '!I375+FR!I111+JN!I160+TA!I88+ŽB!I66+ČL!I233+NB!I105+SM!I138+JI!I116+TU!I160</f>
        <v>10112363</v>
      </c>
      <c r="C31" s="14">
        <f>'LB '!J375+FR!J111+JN!J160+TA!J88+ŽB!J66+ČL!J233+NB!J105+SM!J138+JI!J116+TU!J160</f>
        <v>7147660</v>
      </c>
      <c r="D31" s="14">
        <f>'LB '!K375+FR!K111+JN!K160+TA!K88+ŽB!K66+ČL!K233+NB!K105+SM!K138+JI!K116+TU!K160</f>
        <v>356739</v>
      </c>
      <c r="E31" s="14">
        <f>'LB '!L375+FR!L111+JN!L160+TA!L88+ŽB!L66+ČL!L233+NB!L105+SM!L138+JI!L116+TU!L160</f>
        <v>2536487</v>
      </c>
      <c r="F31" s="14">
        <f>'LB '!M375+FR!M111+JN!M160+TA!M88+ŽB!M66+ČL!M233+NB!M105+SM!M138+JI!M116+TU!M160</f>
        <v>71477</v>
      </c>
      <c r="G31" s="14">
        <f>'LB '!N375+FR!N111+JN!N160+TA!N88+ŽB!N66+ČL!N233+NB!N105+SM!N138+JI!N116+TU!N160</f>
        <v>0</v>
      </c>
      <c r="H31" s="633">
        <f>'LB '!O375+FR!O111+JN!O160+TA!O88+ŽB!O66+ČL!O233+NB!O105+SM!O138+JI!O116+TU!O160</f>
        <v>9.3033000000000001</v>
      </c>
      <c r="I31" s="120">
        <f>'LB '!P375+FR!P111+JN!P160+TA!P88+ŽB!P66+ČL!P233+NB!P105+SM!P138+JI!P116+TU!P160</f>
        <v>-36000</v>
      </c>
      <c r="J31" s="14">
        <f>'LB '!Q375+FR!Q111+JN!Q160+TA!Q88+ŽB!Q66+ČL!Q233+NB!Q105+SM!Q138+JI!Q116+TU!Q160</f>
        <v>0</v>
      </c>
      <c r="K31" s="14">
        <f>'LB '!R375+FR!R111+JN!R160+TA!R88+ŽB!R66+ČL!R233+NB!R105+SM!R138+JI!R116+TU!R160</f>
        <v>0</v>
      </c>
      <c r="L31" s="14">
        <f>'LB '!S375+FR!S111+JN!S160+TA!S88+ŽB!S66+ČL!S233+NB!S105+SM!S138+JI!S116+TU!S160</f>
        <v>0</v>
      </c>
      <c r="M31" s="14">
        <f>'LB '!T375+FR!T111+JN!T160+TA!T88+ŽB!T66+ČL!T233+NB!T105+SM!T138+JI!T116+TU!T160</f>
        <v>0</v>
      </c>
      <c r="N31" s="14">
        <f>'LB '!U375+FR!U111+JN!U160+TA!U88+ŽB!U66+ČL!U233+NB!U105+SM!U138+JI!U116+TU!U160</f>
        <v>0</v>
      </c>
      <c r="O31" s="14">
        <f>'LB '!V375+FR!V111+JN!V160+TA!V88+ŽB!V66+ČL!V233+NB!V105+SM!V138+JI!V116+TU!V160</f>
        <v>-36000</v>
      </c>
      <c r="P31" s="14">
        <f>'LB '!W375+FR!W111+JN!W160+TA!W88+ŽB!W66+ČL!W233+NB!W105+SM!W138+JI!W116+TU!W160</f>
        <v>36000</v>
      </c>
      <c r="Q31" s="14">
        <f>'LB '!X375+FR!X111+JN!X160+TA!X88+ŽB!X66+ČL!X233+NB!X105+SM!X138+JI!X116+TU!X160</f>
        <v>0</v>
      </c>
      <c r="R31" s="14">
        <f>'LB '!Y375+FR!Y111+JN!Y160+TA!Y88+ŽB!Y66+ČL!Y233+NB!Y105+SM!Y138+JI!Y116+TU!Y160</f>
        <v>0</v>
      </c>
      <c r="S31" s="14">
        <f>'LB '!Z375+FR!Z111+JN!Z160+TA!Z88+ŽB!Z66+ČL!Z233+NB!Z105+SM!Z138+JI!Z116+TU!Z160</f>
        <v>36000</v>
      </c>
      <c r="T31" s="14">
        <f>'LB '!AA375+FR!AA111+JN!AA160+TA!AA88+ŽB!AA66+ČL!AA233+NB!AA105+SM!AA138+JI!AA116+TU!AA160</f>
        <v>0</v>
      </c>
      <c r="U31" s="14">
        <f>'LB '!AB375+FR!AB111+JN!AB160+TA!AB88+ŽB!AB66+ČL!AB233+NB!AB105+SM!AB138+JI!AB116+TU!AB160</f>
        <v>0</v>
      </c>
      <c r="V31" s="14">
        <f>'LB '!AC375+FR!AC111+JN!AC160+TA!AC88+ŽB!AC66+ČL!AC233+NB!AC105+SM!AC138+JI!AC116+TU!AC160</f>
        <v>-360</v>
      </c>
      <c r="W31" s="14">
        <f>'LB '!AD375+FR!AD111+JN!AD160+TA!AD88+ŽB!AD66+ČL!AD233+NB!AD105+SM!AD138+JI!AD116+TU!AD160</f>
        <v>0</v>
      </c>
      <c r="X31" s="626">
        <f>'LB '!AE375+FR!AE111+JN!AE160+TA!AE88+ŽB!AE66+ČL!AE233+NB!AE105+SM!AE138+JI!AE116+TU!AE160</f>
        <v>-360</v>
      </c>
      <c r="Y31" s="632">
        <f>'LB '!AF375+FR!AF111+JN!AF160+TA!AF88+ŽB!AF66+ČL!AF233+NB!AF105+SM!AF138+JI!AF116+TU!AF160</f>
        <v>-2.0000000000000004E-2</v>
      </c>
      <c r="Z31" s="11">
        <f>'LB '!AG375+FR!AG111+JN!AG160+TA!AG88+ŽB!AG66+ČL!AG233+NB!AG105+SM!AG138+JI!AG116+TU!AG160</f>
        <v>0</v>
      </c>
      <c r="AA31" s="11">
        <f>'LB '!AH375+FR!AH111+JN!AH160+TA!AH88+ŽB!AH66+ČL!AH233+NB!AH105+SM!AH138+JI!AH116+TU!AH160</f>
        <v>0</v>
      </c>
      <c r="AB31" s="11">
        <f>'LB '!AI375+FR!AI111+JN!AI160+TA!AI88+ŽB!AI66+ČL!AI233+NB!AI105+SM!AI138+JI!AI116+TU!AI160</f>
        <v>0</v>
      </c>
      <c r="AC31" s="11">
        <f>'LB '!AJ375+FR!AJ111+JN!AJ160+TA!AJ88+ŽB!AJ66+ČL!AJ233+NB!AJ105+SM!AJ138+JI!AJ116+TU!AJ160</f>
        <v>0</v>
      </c>
      <c r="AD31" s="11">
        <f>'LB '!AK375+FR!AK111+JN!AK160+TA!AK88+ŽB!AK66+ČL!AK233+NB!AK105+SM!AK138+JI!AK116+TU!AK160</f>
        <v>0</v>
      </c>
      <c r="AE31" s="633">
        <f>'LB '!AL375+FR!AL111+JN!AL160+TA!AL88+ŽB!AL66+ČL!AL233+NB!AL105+SM!AL138+JI!AL116+TU!AL160</f>
        <v>-2.0000000000000004E-2</v>
      </c>
      <c r="AF31" s="119">
        <f>'LB '!AM375+FR!AM111+JN!AM160+TA!AM88+ŽB!AM66+ČL!AM233+NB!AM105+SM!AM138+JI!AM116+TU!AM160</f>
        <v>10112003</v>
      </c>
      <c r="AG31" s="14">
        <f>'LB '!AN375+FR!AN111+JN!AN160+TA!AN88+ŽB!AN66+ČL!AN233+NB!AN105+SM!AN138+JI!AN116+TU!AN160</f>
        <v>7111660</v>
      </c>
      <c r="AH31" s="14">
        <f>'LB '!AO375+FR!AO111+JN!AO160+TA!AO88+ŽB!AO66+ČL!AO233+NB!AO105+SM!AO138+JI!AO116+TU!AO160</f>
        <v>392739</v>
      </c>
      <c r="AI31" s="14">
        <f>'LB '!AP375+FR!AP111+JN!AP160+TA!AP88+ŽB!AP66+ČL!AP233+NB!AP105+SM!AP138+JI!AP116+TU!AP160</f>
        <v>2536487</v>
      </c>
      <c r="AJ31" s="14">
        <f>'LB '!AQ375+FR!AQ111+JN!AQ160+TA!AQ88+ŽB!AQ66+ČL!AQ233+NB!AQ105+SM!AQ138+JI!AQ116+TU!AQ160</f>
        <v>71117</v>
      </c>
      <c r="AK31" s="14">
        <f>'LB '!AR375+FR!AR111+JN!AR160+TA!AR88+ŽB!AR66+ČL!AR233+NB!AR105+SM!AR138+JI!AR116+TU!AR160</f>
        <v>0</v>
      </c>
      <c r="AL31" s="633">
        <f>'LB '!AS375+FR!AS111+JN!AS160+TA!AS88+ŽB!AS66+ČL!AS233+NB!AS105+SM!AS138+JI!AS116+TU!AS160</f>
        <v>9.2833000000000006</v>
      </c>
    </row>
    <row r="32" spans="1:38" x14ac:dyDescent="0.2">
      <c r="A32" s="2">
        <v>3124</v>
      </c>
      <c r="B32" s="119">
        <f>'LB '!I376+FR!I112+JN!I161+TA!I89+ŽB!I67+ČL!I234+NB!I106+SM!I139+JI!I117+TU!I161</f>
        <v>4596416</v>
      </c>
      <c r="C32" s="14">
        <f>'LB '!J376+FR!J112+JN!J161+TA!J89+ŽB!J67+ČL!J234+NB!J106+SM!J139+JI!J117+TU!J161</f>
        <v>3409804</v>
      </c>
      <c r="D32" s="14">
        <f>'LB '!K376+FR!K112+JN!K161+TA!K89+ŽB!K67+ČL!K234+NB!K106+SM!K139+JI!K117+TU!K161</f>
        <v>0</v>
      </c>
      <c r="E32" s="14">
        <f>'LB '!L376+FR!L112+JN!L161+TA!L89+ŽB!L67+ČL!L234+NB!L106+SM!L139+JI!L117+TU!L161</f>
        <v>1152514</v>
      </c>
      <c r="F32" s="14">
        <f>'LB '!M376+FR!M112+JN!M161+TA!M89+ŽB!M67+ČL!M234+NB!M106+SM!M139+JI!M117+TU!M161</f>
        <v>34098</v>
      </c>
      <c r="G32" s="14">
        <f>'LB '!N376+FR!N112+JN!N161+TA!N89+ŽB!N67+ČL!N234+NB!N106+SM!N139+JI!N117+TU!N161</f>
        <v>0</v>
      </c>
      <c r="H32" s="633">
        <f>'LB '!O376+FR!O112+JN!O161+TA!O89+ŽB!O67+ČL!O234+NB!O106+SM!O139+JI!O117+TU!O161</f>
        <v>5.21</v>
      </c>
      <c r="I32" s="120">
        <f>'LB '!P376+FR!P112+JN!P161+TA!P89+ŽB!P67+ČL!P234+NB!P106+SM!P139+JI!P117+TU!P161</f>
        <v>0</v>
      </c>
      <c r="J32" s="14">
        <f>'LB '!Q376+FR!Q112+JN!Q161+TA!Q89+ŽB!Q67+ČL!Q234+NB!Q106+SM!Q139+JI!Q117+TU!Q161</f>
        <v>0</v>
      </c>
      <c r="K32" s="14">
        <f>'LB '!R376+FR!R112+JN!R161+TA!R89+ŽB!R67+ČL!R234+NB!R106+SM!R139+JI!R117+TU!R161</f>
        <v>0</v>
      </c>
      <c r="L32" s="14">
        <f>'LB '!S376+FR!S112+JN!S161+TA!S89+ŽB!S67+ČL!S234+NB!S106+SM!S139+JI!S117+TU!S161</f>
        <v>0</v>
      </c>
      <c r="M32" s="14">
        <f>'LB '!T376+FR!T112+JN!T161+TA!T89+ŽB!T67+ČL!T234+NB!T106+SM!T139+JI!T117+TU!T161</f>
        <v>0</v>
      </c>
      <c r="N32" s="14">
        <f>'LB '!U376+FR!U112+JN!U161+TA!U89+ŽB!U67+ČL!U234+NB!U106+SM!U139+JI!U117+TU!U161</f>
        <v>0</v>
      </c>
      <c r="O32" s="14">
        <f>'LB '!V376+FR!V112+JN!V161+TA!V89+ŽB!V67+ČL!V234+NB!V106+SM!V139+JI!V117+TU!V161</f>
        <v>0</v>
      </c>
      <c r="P32" s="14">
        <f>'LB '!W376+FR!W112+JN!W161+TA!W89+ŽB!W67+ČL!W234+NB!W106+SM!W139+JI!W117+TU!W161</f>
        <v>0</v>
      </c>
      <c r="Q32" s="14">
        <f>'LB '!X376+FR!X112+JN!X161+TA!X89+ŽB!X67+ČL!X234+NB!X106+SM!X139+JI!X117+TU!X161</f>
        <v>0</v>
      </c>
      <c r="R32" s="14">
        <f>'LB '!Y376+FR!Y112+JN!Y161+TA!Y89+ŽB!Y67+ČL!Y234+NB!Y106+SM!Y139+JI!Y117+TU!Y161</f>
        <v>0</v>
      </c>
      <c r="S32" s="14">
        <f>'LB '!Z376+FR!Z112+JN!Z161+TA!Z89+ŽB!Z67+ČL!Z234+NB!Z106+SM!Z139+JI!Z117+TU!Z161</f>
        <v>0</v>
      </c>
      <c r="T32" s="14">
        <f>'LB '!AA376+FR!AA112+JN!AA161+TA!AA89+ŽB!AA67+ČL!AA234+NB!AA106+SM!AA139+JI!AA117+TU!AA161</f>
        <v>0</v>
      </c>
      <c r="U32" s="14">
        <f>'LB '!AB376+FR!AB112+JN!AB161+TA!AB89+ŽB!AB67+ČL!AB234+NB!AB106+SM!AB139+JI!AB117+TU!AB161</f>
        <v>0</v>
      </c>
      <c r="V32" s="14">
        <f>'LB '!AC376+FR!AC112+JN!AC161+TA!AC89+ŽB!AC67+ČL!AC234+NB!AC106+SM!AC139+JI!AC117+TU!AC161</f>
        <v>0</v>
      </c>
      <c r="W32" s="14">
        <f>'LB '!AD376+FR!AD112+JN!AD161+TA!AD89+ŽB!AD67+ČL!AD234+NB!AD106+SM!AD139+JI!AD117+TU!AD161</f>
        <v>0</v>
      </c>
      <c r="X32" s="626">
        <f>'LB '!AE376+FR!AE112+JN!AE161+TA!AE89+ŽB!AE67+ČL!AE234+NB!AE106+SM!AE139+JI!AE117+TU!AE161</f>
        <v>0</v>
      </c>
      <c r="Y32" s="632">
        <f>'LB '!AF376+FR!AF112+JN!AF161+TA!AF89+ŽB!AF67+ČL!AF234+NB!AF106+SM!AF139+JI!AF117+TU!AF161</f>
        <v>0</v>
      </c>
      <c r="Z32" s="11">
        <f>'LB '!AG376+FR!AG112+JN!AG161+TA!AG89+ŽB!AG67+ČL!AG234+NB!AG106+SM!AG139+JI!AG117+TU!AG161</f>
        <v>0</v>
      </c>
      <c r="AA32" s="11">
        <f>'LB '!AH376+FR!AH112+JN!AH161+TA!AH89+ŽB!AH67+ČL!AH234+NB!AH106+SM!AH139+JI!AH117+TU!AH161</f>
        <v>0</v>
      </c>
      <c r="AB32" s="11">
        <f>'LB '!AI376+FR!AI112+JN!AI161+TA!AI89+ŽB!AI67+ČL!AI234+NB!AI106+SM!AI139+JI!AI117+TU!AI161</f>
        <v>0</v>
      </c>
      <c r="AC32" s="11">
        <f>'LB '!AJ376+FR!AJ112+JN!AJ161+TA!AJ89+ŽB!AJ67+ČL!AJ234+NB!AJ106+SM!AJ139+JI!AJ117+TU!AJ161</f>
        <v>0</v>
      </c>
      <c r="AD32" s="11">
        <f>'LB '!AK376+FR!AK112+JN!AK161+TA!AK89+ŽB!AK67+ČL!AK234+NB!AK106+SM!AK139+JI!AK117+TU!AK161</f>
        <v>0</v>
      </c>
      <c r="AE32" s="633">
        <f>'LB '!AL376+FR!AL112+JN!AL161+TA!AL89+ŽB!AL67+ČL!AL234+NB!AL106+SM!AL139+JI!AL117+TU!AL161</f>
        <v>0</v>
      </c>
      <c r="AF32" s="119">
        <f>'LB '!AM376+FR!AM112+JN!AM161+TA!AM89+ŽB!AM67+ČL!AM234+NB!AM106+SM!AM139+JI!AM117+TU!AM161</f>
        <v>4596416</v>
      </c>
      <c r="AG32" s="14">
        <f>'LB '!AN376+FR!AN112+JN!AN161+TA!AN89+ŽB!AN67+ČL!AN234+NB!AN106+SM!AN139+JI!AN117+TU!AN161</f>
        <v>3409804</v>
      </c>
      <c r="AH32" s="14">
        <f>'LB '!AO376+FR!AO112+JN!AO161+TA!AO89+ŽB!AO67+ČL!AO234+NB!AO106+SM!AO139+JI!AO117+TU!AO161</f>
        <v>0</v>
      </c>
      <c r="AI32" s="14">
        <f>'LB '!AP376+FR!AP112+JN!AP161+TA!AP89+ŽB!AP67+ČL!AP234+NB!AP106+SM!AP139+JI!AP117+TU!AP161</f>
        <v>1152514</v>
      </c>
      <c r="AJ32" s="14">
        <f>'LB '!AQ376+FR!AQ112+JN!AQ161+TA!AQ89+ŽB!AQ67+ČL!AQ234+NB!AQ106+SM!AQ139+JI!AQ117+TU!AQ161</f>
        <v>34098</v>
      </c>
      <c r="AK32" s="14">
        <f>'LB '!AR376+FR!AR112+JN!AR161+TA!AR89+ŽB!AR67+ČL!AR234+NB!AR106+SM!AR139+JI!AR117+TU!AR161</f>
        <v>0</v>
      </c>
      <c r="AL32" s="633">
        <f>'LB '!AS376+FR!AS112+JN!AS161+TA!AS89+ŽB!AS67+ČL!AS234+NB!AS106+SM!AS139+JI!AS117+TU!AS161</f>
        <v>5.21</v>
      </c>
    </row>
    <row r="33" spans="1:38" x14ac:dyDescent="0.2">
      <c r="A33" s="2">
        <v>3141</v>
      </c>
      <c r="B33" s="119">
        <f>'LB '!I377+FR!I113+JN!I162+TA!I90+ŽB!I68+ČL!I235+NB!I107+SM!I140+JI!I118+TU!I162</f>
        <v>0</v>
      </c>
      <c r="C33" s="14">
        <f>'LB '!J377+FR!J113+JN!J162+TA!J90+ŽB!J68+ČL!J235+NB!J107+SM!J140+JI!J118+TU!J162</f>
        <v>0</v>
      </c>
      <c r="D33" s="14">
        <f>'LB '!K377+FR!K113+JN!K162+TA!K90+ŽB!K68+ČL!K235+NB!K107+SM!K140+JI!K118+TU!K162</f>
        <v>0</v>
      </c>
      <c r="E33" s="14">
        <f>'LB '!L377+FR!L113+JN!L162+TA!L90+ŽB!L68+ČL!L235+NB!L107+SM!L140+JI!L118+TU!L162</f>
        <v>0</v>
      </c>
      <c r="F33" s="14">
        <f>'LB '!M377+FR!M113+JN!M162+TA!M90+ŽB!M68+ČL!M235+NB!M107+SM!M140+JI!M118+TU!M162</f>
        <v>0</v>
      </c>
      <c r="G33" s="14">
        <f>'LB '!N377+FR!N113+JN!N162+TA!N90+ŽB!N68+ČL!N235+NB!N107+SM!N140+JI!N118+TU!N162</f>
        <v>0</v>
      </c>
      <c r="H33" s="633">
        <f>'LB '!O377+FR!O113+JN!O162+TA!O90+ŽB!O68+ČL!O235+NB!O107+SM!O140+JI!O118+TU!O162</f>
        <v>0</v>
      </c>
      <c r="I33" s="120">
        <f>'LB '!P377+FR!P113+JN!P162+TA!P90+ŽB!P68+ČL!P235+NB!P107+SM!P140+JI!P118+TU!P162</f>
        <v>0</v>
      </c>
      <c r="J33" s="14">
        <f>'LB '!Q377+FR!Q113+JN!Q162+TA!Q90+ŽB!Q68+ČL!Q235+NB!Q107+SM!Q140+JI!Q118+TU!Q162</f>
        <v>0</v>
      </c>
      <c r="K33" s="14">
        <f>'LB '!R377+FR!R113+JN!R162+TA!R90+ŽB!R68+ČL!R235+NB!R107+SM!R140+JI!R118+TU!R162</f>
        <v>0</v>
      </c>
      <c r="L33" s="14">
        <f>'LB '!S377+FR!S113+JN!S162+TA!S90+ŽB!S68+ČL!S235+NB!S107+SM!S140+JI!S118+TU!S162</f>
        <v>0</v>
      </c>
      <c r="M33" s="14">
        <f>'LB '!T377+FR!T113+JN!T162+TA!T90+ŽB!T68+ČL!T235+NB!T107+SM!T140+JI!T118+TU!T162</f>
        <v>0</v>
      </c>
      <c r="N33" s="14">
        <f>'LB '!U377+FR!U113+JN!U162+TA!U90+ŽB!U68+ČL!U235+NB!U107+SM!U140+JI!U118+TU!U162</f>
        <v>0</v>
      </c>
      <c r="O33" s="14">
        <f>'LB '!V377+FR!V113+JN!V162+TA!V90+ŽB!V68+ČL!V235+NB!V107+SM!V140+JI!V118+TU!V162</f>
        <v>0</v>
      </c>
      <c r="P33" s="14">
        <f>'LB '!W377+FR!W113+JN!W162+TA!W90+ŽB!W68+ČL!W235+NB!W107+SM!W140+JI!W118+TU!W162</f>
        <v>0</v>
      </c>
      <c r="Q33" s="14">
        <f>'LB '!X377+FR!X113+JN!X162+TA!X90+ŽB!X68+ČL!X235+NB!X107+SM!X140+JI!X118+TU!X162</f>
        <v>0</v>
      </c>
      <c r="R33" s="14">
        <f>'LB '!Y377+FR!Y113+JN!Y162+TA!Y90+ŽB!Y68+ČL!Y235+NB!Y107+SM!Y140+JI!Y118+TU!Y162</f>
        <v>0</v>
      </c>
      <c r="S33" s="14">
        <f>'LB '!Z377+FR!Z113+JN!Z162+TA!Z90+ŽB!Z68+ČL!Z235+NB!Z107+SM!Z140+JI!Z118+TU!Z162</f>
        <v>0</v>
      </c>
      <c r="T33" s="14">
        <f>'LB '!AA377+FR!AA113+JN!AA162+TA!AA90+ŽB!AA68+ČL!AA235+NB!AA107+SM!AA140+JI!AA118+TU!AA162</f>
        <v>0</v>
      </c>
      <c r="U33" s="14">
        <f>'LB '!AB377+FR!AB113+JN!AB162+TA!AB90+ŽB!AB68+ČL!AB235+NB!AB107+SM!AB140+JI!AB118+TU!AB162</f>
        <v>0</v>
      </c>
      <c r="V33" s="14">
        <f>'LB '!AC377+FR!AC113+JN!AC162+TA!AC90+ŽB!AC68+ČL!AC235+NB!AC107+SM!AC140+JI!AC118+TU!AC162</f>
        <v>0</v>
      </c>
      <c r="W33" s="14">
        <f>'LB '!AD377+FR!AD113+JN!AD162+TA!AD90+ŽB!AD68+ČL!AD235+NB!AD107+SM!AD140+JI!AD118+TU!AD162</f>
        <v>0</v>
      </c>
      <c r="X33" s="626">
        <f>'LB '!AE377+FR!AE113+JN!AE162+TA!AE90+ŽB!AE68+ČL!AE235+NB!AE107+SM!AE140+JI!AE118+TU!AE162</f>
        <v>0</v>
      </c>
      <c r="Y33" s="632">
        <f>'LB '!AF377+FR!AF113+JN!AF162+TA!AF90+ŽB!AF68+ČL!AF235+NB!AF107+SM!AF140+JI!AF118+TU!AF162</f>
        <v>0</v>
      </c>
      <c r="Z33" s="11">
        <f>'LB '!AG377+FR!AG113+JN!AG162+TA!AG90+ŽB!AG68+ČL!AG235+NB!AG107+SM!AG140+JI!AG118+TU!AG162</f>
        <v>0</v>
      </c>
      <c r="AA33" s="11">
        <f>'LB '!AH377+FR!AH113+JN!AH162+TA!AH90+ŽB!AH68+ČL!AH235+NB!AH107+SM!AH140+JI!AH118+TU!AH162</f>
        <v>0</v>
      </c>
      <c r="AB33" s="11">
        <f>'LB '!AI377+FR!AI113+JN!AI162+TA!AI90+ŽB!AI68+ČL!AI235+NB!AI107+SM!AI140+JI!AI118+TU!AI162</f>
        <v>0</v>
      </c>
      <c r="AC33" s="11">
        <f>'LB '!AJ377+FR!AJ113+JN!AJ162+TA!AJ90+ŽB!AJ68+ČL!AJ235+NB!AJ107+SM!AJ140+JI!AJ118+TU!AJ162</f>
        <v>0</v>
      </c>
      <c r="AD33" s="11">
        <f>'LB '!AK377+FR!AK113+JN!AK162+TA!AK90+ŽB!AK68+ČL!AK235+NB!AK107+SM!AK140+JI!AK118+TU!AK162</f>
        <v>0</v>
      </c>
      <c r="AE33" s="633">
        <f>'LB '!AL377+FR!AL113+JN!AL162+TA!AL90+ŽB!AL68+ČL!AL235+NB!AL107+SM!AL140+JI!AL118+TU!AL162</f>
        <v>0</v>
      </c>
      <c r="AF33" s="119">
        <f>'LB '!AM377+FR!AM113+JN!AM162+TA!AM90+ŽB!AM68+ČL!AM235+NB!AM107+SM!AM140+JI!AM118+TU!AM162</f>
        <v>0</v>
      </c>
      <c r="AG33" s="14">
        <f>'LB '!AN377+FR!AN113+JN!AN162+TA!AN90+ŽB!AN68+ČL!AN235+NB!AN107+SM!AN140+JI!AN118+TU!AN162</f>
        <v>0</v>
      </c>
      <c r="AH33" s="14">
        <f>'LB '!AO377+FR!AO113+JN!AO162+TA!AO90+ŽB!AO68+ČL!AO235+NB!AO107+SM!AO140+JI!AO118+TU!AO162</f>
        <v>0</v>
      </c>
      <c r="AI33" s="14">
        <f>'LB '!AP377+FR!AP113+JN!AP162+TA!AP90+ŽB!AP68+ČL!AP235+NB!AP107+SM!AP140+JI!AP118+TU!AP162</f>
        <v>0</v>
      </c>
      <c r="AJ33" s="14">
        <f>'LB '!AQ377+FR!AQ113+JN!AQ162+TA!AQ90+ŽB!AQ68+ČL!AQ235+NB!AQ107+SM!AQ140+JI!AQ118+TU!AQ162</f>
        <v>0</v>
      </c>
      <c r="AK33" s="14">
        <f>'LB '!AR377+FR!AR113+JN!AR162+TA!AR90+ŽB!AR68+ČL!AR235+NB!AR107+SM!AR140+JI!AR118+TU!AR162</f>
        <v>0</v>
      </c>
      <c r="AL33" s="633">
        <f>'LB '!AS377+FR!AS113+JN!AS162+TA!AS90+ŽB!AS68+ČL!AS235+NB!AS107+SM!AS140+JI!AS118+TU!AS162</f>
        <v>0</v>
      </c>
    </row>
    <row r="34" spans="1:38" x14ac:dyDescent="0.2">
      <c r="A34" s="2">
        <v>3143</v>
      </c>
      <c r="B34" s="119">
        <f>'LB '!I378+FR!I114+JN!I163+TA!I91+ŽB!I69+ČL!I236+NB!I108+SM!I141+JI!I119+TU!I163</f>
        <v>350725249</v>
      </c>
      <c r="C34" s="14">
        <f>'LB '!J378+FR!J114+JN!J163+TA!J91+ŽB!J69+ČL!J236+NB!J108+SM!J141+JI!J119+TU!J163</f>
        <v>259084284</v>
      </c>
      <c r="D34" s="14">
        <f>'LB '!K378+FR!K114+JN!K163+TA!K91+ŽB!K69+ČL!K236+NB!K108+SM!K141+JI!K119+TU!K163</f>
        <v>1105850</v>
      </c>
      <c r="E34" s="14">
        <f>'LB '!L378+FR!L114+JN!L163+TA!L91+ŽB!L69+ČL!L236+NB!L108+SM!L141+JI!L119+TU!L163</f>
        <v>87944273</v>
      </c>
      <c r="F34" s="14">
        <f>'LB '!M378+FR!M114+JN!M163+TA!M91+ŽB!M69+ČL!M236+NB!M108+SM!M141+JI!M119+TU!M163</f>
        <v>2590842</v>
      </c>
      <c r="G34" s="14">
        <f>'LB '!N378+FR!N114+JN!N163+TA!N91+ŽB!N69+ČL!N236+NB!N108+SM!N141+JI!N119+TU!N163</f>
        <v>0</v>
      </c>
      <c r="H34" s="633">
        <f>'LB '!O378+FR!O114+JN!O163+TA!O91+ŽB!O69+ČL!O236+NB!O108+SM!O141+JI!O119+TU!O163</f>
        <v>490.37930000000006</v>
      </c>
      <c r="I34" s="120">
        <f>'LB '!P378+FR!P114+JN!P163+TA!P91+ŽB!P69+ČL!P236+NB!P108+SM!P141+JI!P119+TU!P163</f>
        <v>-522640</v>
      </c>
      <c r="J34" s="14">
        <f>'LB '!Q378+FR!Q114+JN!Q163+TA!Q91+ŽB!Q69+ČL!Q236+NB!Q108+SM!Q141+JI!Q119+TU!Q163</f>
        <v>0</v>
      </c>
      <c r="K34" s="14">
        <f>'LB '!R378+FR!R114+JN!R163+TA!R91+ŽB!R69+ČL!R236+NB!R108+SM!R141+JI!R119+TU!R163</f>
        <v>0</v>
      </c>
      <c r="L34" s="14">
        <f>'LB '!S378+FR!S114+JN!S163+TA!S91+ŽB!S69+ČL!S236+NB!S108+SM!S141+JI!S119+TU!S163</f>
        <v>0</v>
      </c>
      <c r="M34" s="14">
        <f>'LB '!T378+FR!T114+JN!T163+TA!T91+ŽB!T69+ČL!T236+NB!T108+SM!T141+JI!T119+TU!T163</f>
        <v>0</v>
      </c>
      <c r="N34" s="14">
        <f>'LB '!U378+FR!U114+JN!U163+TA!U91+ŽB!U69+ČL!U236+NB!U108+SM!U141+JI!U119+TU!U163</f>
        <v>0</v>
      </c>
      <c r="O34" s="14">
        <f>'LB '!V378+FR!V114+JN!V163+TA!V91+ŽB!V69+ČL!V236+NB!V108+SM!V141+JI!V119+TU!V163</f>
        <v>-522640</v>
      </c>
      <c r="P34" s="14">
        <f>'LB '!W378+FR!W114+JN!W163+TA!W91+ŽB!W69+ČL!W236+NB!W108+SM!W141+JI!W119+TU!W163</f>
        <v>522640</v>
      </c>
      <c r="Q34" s="14">
        <f>'LB '!X378+FR!X114+JN!X163+TA!X91+ŽB!X69+ČL!X236+NB!X108+SM!X141+JI!X119+TU!X163</f>
        <v>0</v>
      </c>
      <c r="R34" s="14">
        <f>'LB '!Y378+FR!Y114+JN!Y163+TA!Y91+ŽB!Y69+ČL!Y236+NB!Y108+SM!Y141+JI!Y119+TU!Y163</f>
        <v>0</v>
      </c>
      <c r="S34" s="14">
        <f>'LB '!Z378+FR!Z114+JN!Z163+TA!Z91+ŽB!Z69+ČL!Z236+NB!Z108+SM!Z141+JI!Z119+TU!Z163</f>
        <v>522640</v>
      </c>
      <c r="T34" s="14">
        <f>'LB '!AA378+FR!AA114+JN!AA163+TA!AA91+ŽB!AA69+ČL!AA236+NB!AA108+SM!AA141+JI!AA119+TU!AA163</f>
        <v>0</v>
      </c>
      <c r="U34" s="14">
        <f>'LB '!AB378+FR!AB114+JN!AB163+TA!AB91+ŽB!AB69+ČL!AB236+NB!AB108+SM!AB141+JI!AB119+TU!AB163</f>
        <v>0</v>
      </c>
      <c r="V34" s="14">
        <f>'LB '!AC378+FR!AC114+JN!AC163+TA!AC91+ŽB!AC69+ČL!AC236+NB!AC108+SM!AC141+JI!AC119+TU!AC163</f>
        <v>-5226</v>
      </c>
      <c r="W34" s="14">
        <f>'LB '!AD378+FR!AD114+JN!AD163+TA!AD91+ŽB!AD69+ČL!AD236+NB!AD108+SM!AD141+JI!AD119+TU!AD163</f>
        <v>0</v>
      </c>
      <c r="X34" s="626">
        <f>'LB '!AE378+FR!AE114+JN!AE163+TA!AE91+ŽB!AE69+ČL!AE236+NB!AE108+SM!AE141+JI!AE119+TU!AE163</f>
        <v>-5226</v>
      </c>
      <c r="Y34" s="632">
        <f>'LB '!AF378+FR!AF114+JN!AF163+TA!AF91+ŽB!AF69+ČL!AF236+NB!AF108+SM!AF141+JI!AF119+TU!AF163</f>
        <v>-0.22999999999999998</v>
      </c>
      <c r="Z34" s="11">
        <f>'LB '!AG378+FR!AG114+JN!AG163+TA!AG91+ŽB!AG69+ČL!AG236+NB!AG108+SM!AG141+JI!AG119+TU!AG163</f>
        <v>0</v>
      </c>
      <c r="AA34" s="11">
        <f>'LB '!AH378+FR!AH114+JN!AH163+TA!AH91+ŽB!AH69+ČL!AH236+NB!AH108+SM!AH141+JI!AH119+TU!AH163</f>
        <v>0</v>
      </c>
      <c r="AB34" s="11">
        <f>'LB '!AI378+FR!AI114+JN!AI163+TA!AI91+ŽB!AI69+ČL!AI236+NB!AI108+SM!AI141+JI!AI119+TU!AI163</f>
        <v>0</v>
      </c>
      <c r="AC34" s="11">
        <f>'LB '!AJ378+FR!AJ114+JN!AJ163+TA!AJ91+ŽB!AJ69+ČL!AJ236+NB!AJ108+SM!AJ141+JI!AJ119+TU!AJ163</f>
        <v>0</v>
      </c>
      <c r="AD34" s="11">
        <f>'LB '!AK378+FR!AK114+JN!AK163+TA!AK91+ŽB!AK69+ČL!AK236+NB!AK108+SM!AK141+JI!AK119+TU!AK163</f>
        <v>0</v>
      </c>
      <c r="AE34" s="633">
        <f>'LB '!AL378+FR!AL114+JN!AL163+TA!AL91+ŽB!AL69+ČL!AL236+NB!AL108+SM!AL141+JI!AL119+TU!AL163</f>
        <v>-0.22999999999999998</v>
      </c>
      <c r="AF34" s="119">
        <f>'LB '!AM378+FR!AM114+JN!AM163+TA!AM91+ŽB!AM69+ČL!AM236+NB!AM108+SM!AM141+JI!AM119+TU!AM163</f>
        <v>350720023</v>
      </c>
      <c r="AG34" s="14">
        <f>'LB '!AN378+FR!AN114+JN!AN163+TA!AN91+ŽB!AN69+ČL!AN236+NB!AN108+SM!AN141+JI!AN119+TU!AN163</f>
        <v>258561644</v>
      </c>
      <c r="AH34" s="14">
        <f>'LB '!AO378+FR!AO114+JN!AO163+TA!AO91+ŽB!AO69+ČL!AO236+NB!AO108+SM!AO141+JI!AO119+TU!AO163</f>
        <v>1628490</v>
      </c>
      <c r="AI34" s="14">
        <f>'LB '!AP378+FR!AP114+JN!AP163+TA!AP91+ŽB!AP69+ČL!AP236+NB!AP108+SM!AP141+JI!AP119+TU!AP163</f>
        <v>87944273</v>
      </c>
      <c r="AJ34" s="14">
        <f>'LB '!AQ378+FR!AQ114+JN!AQ163+TA!AQ91+ŽB!AQ69+ČL!AQ236+NB!AQ108+SM!AQ141+JI!AQ119+TU!AQ163</f>
        <v>2585616</v>
      </c>
      <c r="AK34" s="14">
        <f>'LB '!AR378+FR!AR114+JN!AR163+TA!AR91+ŽB!AR69+ČL!AR236+NB!AR108+SM!AR141+JI!AR119+TU!AR163</f>
        <v>0</v>
      </c>
      <c r="AL34" s="633">
        <f>'LB '!AS378+FR!AS114+JN!AS163+TA!AS91+ŽB!AS69+ČL!AS236+NB!AS108+SM!AS141+JI!AS119+TU!AS163</f>
        <v>490.1493000000001</v>
      </c>
    </row>
    <row r="35" spans="1:38" x14ac:dyDescent="0.2">
      <c r="A35" s="2">
        <v>3231</v>
      </c>
      <c r="B35" s="119">
        <f>'LB '!I379+FR!I115+JN!I164+TA!I92+ŽB!I70+ČL!I237+NB!I109+SM!I142+JI!I120+TU!I164</f>
        <v>338429855</v>
      </c>
      <c r="C35" s="14">
        <f>'LB '!J379+FR!J115+JN!J164+TA!J92+ŽB!J70+ČL!J237+NB!J109+SM!J142+JI!J120+TU!J164</f>
        <v>250660512</v>
      </c>
      <c r="D35" s="14">
        <f>'LB '!K379+FR!K115+JN!K164+TA!K92+ŽB!K70+ČL!K237+NB!K109+SM!K142+JI!K120+TU!K164</f>
        <v>403200</v>
      </c>
      <c r="E35" s="14">
        <f>'LB '!L379+FR!L115+JN!L164+TA!L92+ŽB!L70+ČL!L237+NB!L109+SM!L142+JI!L120+TU!L164</f>
        <v>84859540</v>
      </c>
      <c r="F35" s="14">
        <f>'LB '!M379+FR!M115+JN!M164+TA!M92+ŽB!M70+ČL!M237+NB!M109+SM!M142+JI!M120+TU!M164</f>
        <v>2506603</v>
      </c>
      <c r="G35" s="14">
        <f>'LB '!N379+FR!N115+JN!N164+TA!N92+ŽB!N70+ČL!N237+NB!N109+SM!N142+JI!N120+TU!N164</f>
        <v>0</v>
      </c>
      <c r="H35" s="633">
        <f>'LB '!O379+FR!O115+JN!O164+TA!O92+ŽB!O70+ČL!O237+NB!O109+SM!O142+JI!O120+TU!O164</f>
        <v>376.15339999999992</v>
      </c>
      <c r="I35" s="120">
        <f>'LB '!P379+FR!P115+JN!P164+TA!P92+ŽB!P70+ČL!P237+NB!P109+SM!P142+JI!P120+TU!P164</f>
        <v>-188800</v>
      </c>
      <c r="J35" s="14">
        <f>'LB '!Q379+FR!Q115+JN!Q164+TA!Q92+ŽB!Q70+ČL!Q237+NB!Q109+SM!Q142+JI!Q120+TU!Q164</f>
        <v>0</v>
      </c>
      <c r="K35" s="14">
        <f>'LB '!R379+FR!R115+JN!R164+TA!R92+ŽB!R70+ČL!R237+NB!R109+SM!R142+JI!R120+TU!R164</f>
        <v>0</v>
      </c>
      <c r="L35" s="14">
        <f>'LB '!S379+FR!S115+JN!S164+TA!S92+ŽB!S70+ČL!S237+NB!S109+SM!S142+JI!S120+TU!S164</f>
        <v>0</v>
      </c>
      <c r="M35" s="14">
        <f>'LB '!T379+FR!T115+JN!T164+TA!T92+ŽB!T70+ČL!T237+NB!T109+SM!T142+JI!T120+TU!T164</f>
        <v>0</v>
      </c>
      <c r="N35" s="14">
        <f>'LB '!U379+FR!U115+JN!U164+TA!U92+ŽB!U70+ČL!U237+NB!U109+SM!U142+JI!U120+TU!U164</f>
        <v>0</v>
      </c>
      <c r="O35" s="14">
        <f>'LB '!V379+FR!V115+JN!V164+TA!V92+ŽB!V70+ČL!V237+NB!V109+SM!V142+JI!V120+TU!V164</f>
        <v>-188800</v>
      </c>
      <c r="P35" s="14">
        <f>'LB '!W379+FR!W115+JN!W164+TA!W92+ŽB!W70+ČL!W237+NB!W109+SM!W142+JI!W120+TU!W164</f>
        <v>188800</v>
      </c>
      <c r="Q35" s="14">
        <f>'LB '!X379+FR!X115+JN!X164+TA!X92+ŽB!X70+ČL!X237+NB!X109+SM!X142+JI!X120+TU!X164</f>
        <v>0</v>
      </c>
      <c r="R35" s="14">
        <f>'LB '!Y379+FR!Y115+JN!Y164+TA!Y92+ŽB!Y70+ČL!Y237+NB!Y109+SM!Y142+JI!Y120+TU!Y164</f>
        <v>0</v>
      </c>
      <c r="S35" s="14">
        <f>'LB '!Z379+FR!Z115+JN!Z164+TA!Z92+ŽB!Z70+ČL!Z237+NB!Z109+SM!Z142+JI!Z120+TU!Z164</f>
        <v>188800</v>
      </c>
      <c r="T35" s="14">
        <f>'LB '!AA379+FR!AA115+JN!AA164+TA!AA92+ŽB!AA70+ČL!AA237+NB!AA109+SM!AA142+JI!AA120+TU!AA164</f>
        <v>0</v>
      </c>
      <c r="U35" s="14">
        <f>'LB '!AB379+FR!AB115+JN!AB164+TA!AB92+ŽB!AB70+ČL!AB237+NB!AB109+SM!AB142+JI!AB120+TU!AB164</f>
        <v>0</v>
      </c>
      <c r="V35" s="14">
        <f>'LB '!AC379+FR!AC115+JN!AC164+TA!AC92+ŽB!AC70+ČL!AC237+NB!AC109+SM!AC142+JI!AC120+TU!AC164</f>
        <v>-1888</v>
      </c>
      <c r="W35" s="14">
        <f>'LB '!AD379+FR!AD115+JN!AD164+TA!AD92+ŽB!AD70+ČL!AD237+NB!AD109+SM!AD142+JI!AD120+TU!AD164</f>
        <v>0</v>
      </c>
      <c r="X35" s="626">
        <f>'LB '!AE379+FR!AE115+JN!AE164+TA!AE92+ŽB!AE70+ČL!AE237+NB!AE109+SM!AE142+JI!AE120+TU!AE164</f>
        <v>-1888</v>
      </c>
      <c r="Y35" s="632">
        <f>'LB '!AF379+FR!AF115+JN!AF164+TA!AF92+ŽB!AF70+ČL!AF237+NB!AF109+SM!AF142+JI!AF120+TU!AF164</f>
        <v>-0.19</v>
      </c>
      <c r="Z35" s="11">
        <f>'LB '!AG379+FR!AG115+JN!AG164+TA!AG92+ŽB!AG70+ČL!AG237+NB!AG109+SM!AG142+JI!AG120+TU!AG164</f>
        <v>0</v>
      </c>
      <c r="AA35" s="11">
        <f>'LB '!AH379+FR!AH115+JN!AH164+TA!AH92+ŽB!AH70+ČL!AH237+NB!AH109+SM!AH142+JI!AH120+TU!AH164</f>
        <v>0</v>
      </c>
      <c r="AB35" s="11">
        <f>'LB '!AI379+FR!AI115+JN!AI164+TA!AI92+ŽB!AI70+ČL!AI237+NB!AI109+SM!AI142+JI!AI120+TU!AI164</f>
        <v>0</v>
      </c>
      <c r="AC35" s="11">
        <f>'LB '!AJ379+FR!AJ115+JN!AJ164+TA!AJ92+ŽB!AJ70+ČL!AJ237+NB!AJ109+SM!AJ142+JI!AJ120+TU!AJ164</f>
        <v>0</v>
      </c>
      <c r="AD35" s="11">
        <f>'LB '!AK379+FR!AK115+JN!AK164+TA!AK92+ŽB!AK70+ČL!AK237+NB!AK109+SM!AK142+JI!AK120+TU!AK164</f>
        <v>0</v>
      </c>
      <c r="AE35" s="633">
        <f>'LB '!AL379+FR!AL115+JN!AL164+TA!AL92+ŽB!AL70+ČL!AL237+NB!AL109+SM!AL142+JI!AL120+TU!AL164</f>
        <v>-0.19</v>
      </c>
      <c r="AF35" s="119">
        <f>'LB '!AM379+FR!AM115+JN!AM164+TA!AM92+ŽB!AM70+ČL!AM237+NB!AM109+SM!AM142+JI!AM120+TU!AM164</f>
        <v>338427967</v>
      </c>
      <c r="AG35" s="14">
        <f>'LB '!AN379+FR!AN115+JN!AN164+TA!AN92+ŽB!AN70+ČL!AN237+NB!AN109+SM!AN142+JI!AN120+TU!AN164</f>
        <v>250471712</v>
      </c>
      <c r="AH35" s="14">
        <f>'LB '!AO379+FR!AO115+JN!AO164+TA!AO92+ŽB!AO70+ČL!AO237+NB!AO109+SM!AO142+JI!AO120+TU!AO164</f>
        <v>592000</v>
      </c>
      <c r="AI35" s="14">
        <f>'LB '!AP379+FR!AP115+JN!AP164+TA!AP92+ŽB!AP70+ČL!AP237+NB!AP109+SM!AP142+JI!AP120+TU!AP164</f>
        <v>84859540</v>
      </c>
      <c r="AJ35" s="14">
        <f>'LB '!AQ379+FR!AQ115+JN!AQ164+TA!AQ92+ŽB!AQ70+ČL!AQ237+NB!AQ109+SM!AQ142+JI!AQ120+TU!AQ164</f>
        <v>2504715</v>
      </c>
      <c r="AK35" s="14">
        <f>'LB '!AR379+FR!AR115+JN!AR164+TA!AR92+ŽB!AR70+ČL!AR237+NB!AR109+SM!AR142+JI!AR120+TU!AR164</f>
        <v>0</v>
      </c>
      <c r="AL35" s="633">
        <f>'LB '!AS379+FR!AS115+JN!AS164+TA!AS92+ŽB!AS70+ČL!AS237+NB!AS109+SM!AS142+JI!AS120+TU!AS164</f>
        <v>375.96339999999992</v>
      </c>
    </row>
    <row r="36" spans="1:38" ht="13.5" thickBot="1" x14ac:dyDescent="0.25">
      <c r="A36" s="103">
        <v>3233</v>
      </c>
      <c r="B36" s="122">
        <f>'LB '!I380+FR!I116+JN!I165+TA!I93+ŽB!I71+ČL!I238+NB!I110+SM!I143+JI!I121+TU!I165</f>
        <v>46329305</v>
      </c>
      <c r="C36" s="123">
        <f>'LB '!J380+FR!J116+JN!J165+TA!J93+ŽB!J71+ČL!J238+NB!J110+SM!J143+JI!J121+TU!J165</f>
        <v>32851262</v>
      </c>
      <c r="D36" s="123">
        <f>'LB '!K380+FR!K116+JN!K165+TA!K93+ŽB!K71+ČL!K238+NB!K110+SM!K143+JI!K121+TU!K165</f>
        <v>1529000</v>
      </c>
      <c r="E36" s="123">
        <f>'LB '!L380+FR!L116+JN!L165+TA!L93+ŽB!L71+ČL!L238+NB!L110+SM!L143+JI!L121+TU!L165</f>
        <v>11620530</v>
      </c>
      <c r="F36" s="123">
        <f>'LB '!M380+FR!M116+JN!M165+TA!M93+ŽB!M71+ČL!M238+NB!M110+SM!M143+JI!M121+TU!M165</f>
        <v>328513</v>
      </c>
      <c r="G36" s="123">
        <f>'LB '!N380+FR!N116+JN!N165+TA!N93+ŽB!N71+ČL!N238+NB!N110+SM!N143+JI!N121+TU!N165</f>
        <v>0</v>
      </c>
      <c r="H36" s="635">
        <f>'LB '!O380+FR!O116+JN!O165+TA!O93+ŽB!O71+ČL!O238+NB!O110+SM!O143+JI!O121+TU!O165</f>
        <v>55.34</v>
      </c>
      <c r="I36" s="125">
        <f>'LB '!P380+FR!P116+JN!P165+TA!P93+ŽB!P71+ČL!P238+NB!P110+SM!P143+JI!P121+TU!P165</f>
        <v>-886000</v>
      </c>
      <c r="J36" s="123">
        <f>'LB '!Q380+FR!Q116+JN!Q165+TA!Q93+ŽB!Q71+ČL!Q238+NB!Q110+SM!Q143+JI!Q121+TU!Q165</f>
        <v>0</v>
      </c>
      <c r="K36" s="123">
        <f>'LB '!R380+FR!R116+JN!R165+TA!R93+ŽB!R71+ČL!R238+NB!R110+SM!R143+JI!R121+TU!R165</f>
        <v>0</v>
      </c>
      <c r="L36" s="123">
        <f>'LB '!S380+FR!S116+JN!S165+TA!S93+ŽB!S71+ČL!S238+NB!S110+SM!S143+JI!S121+TU!S165</f>
        <v>0</v>
      </c>
      <c r="M36" s="123">
        <f>'LB '!T380+FR!T116+JN!T165+TA!T93+ŽB!T71+ČL!T238+NB!T110+SM!T143+JI!T121+TU!T165</f>
        <v>0</v>
      </c>
      <c r="N36" s="123">
        <f>'LB '!U380+FR!U116+JN!U165+TA!U93+ŽB!U71+ČL!U238+NB!U110+SM!U143+JI!U121+TU!U165</f>
        <v>0</v>
      </c>
      <c r="O36" s="123">
        <f>'LB '!V380+FR!V116+JN!V165+TA!V93+ŽB!V71+ČL!V238+NB!V110+SM!V143+JI!V121+TU!V165</f>
        <v>-886000</v>
      </c>
      <c r="P36" s="123">
        <f>'LB '!W380+FR!W116+JN!W165+TA!W93+ŽB!W71+ČL!W238+NB!W110+SM!W143+JI!W121+TU!W165</f>
        <v>886000</v>
      </c>
      <c r="Q36" s="123">
        <f>'LB '!X380+FR!X116+JN!X165+TA!X93+ŽB!X71+ČL!X238+NB!X110+SM!X143+JI!X121+TU!X165</f>
        <v>0</v>
      </c>
      <c r="R36" s="123">
        <f>'LB '!Y380+FR!Y116+JN!Y165+TA!Y93+ŽB!Y71+ČL!Y238+NB!Y110+SM!Y143+JI!Y121+TU!Y165</f>
        <v>0</v>
      </c>
      <c r="S36" s="123">
        <f>'LB '!Z380+FR!Z116+JN!Z165+TA!Z93+ŽB!Z71+ČL!Z238+NB!Z110+SM!Z143+JI!Z121+TU!Z165</f>
        <v>886000</v>
      </c>
      <c r="T36" s="123">
        <f>'LB '!AA380+FR!AA116+JN!AA165+TA!AA93+ŽB!AA71+ČL!AA238+NB!AA110+SM!AA143+JI!AA121+TU!AA165</f>
        <v>0</v>
      </c>
      <c r="U36" s="123">
        <f>'LB '!AB380+FR!AB116+JN!AB165+TA!AB93+ŽB!AB71+ČL!AB238+NB!AB110+SM!AB143+JI!AB121+TU!AB165</f>
        <v>0</v>
      </c>
      <c r="V36" s="123">
        <f>'LB '!AC380+FR!AC116+JN!AC165+TA!AC93+ŽB!AC71+ČL!AC238+NB!AC110+SM!AC143+JI!AC121+TU!AC165</f>
        <v>-8860</v>
      </c>
      <c r="W36" s="123">
        <f>'LB '!AD380+FR!AD116+JN!AD165+TA!AD93+ŽB!AD71+ČL!AD238+NB!AD110+SM!AD143+JI!AD121+TU!AD165</f>
        <v>0</v>
      </c>
      <c r="X36" s="627">
        <f>'LB '!AE380+FR!AE116+JN!AE165+TA!AE93+ŽB!AE71+ČL!AE238+NB!AE110+SM!AE143+JI!AE121+TU!AE165</f>
        <v>-8860</v>
      </c>
      <c r="Y36" s="634">
        <f>'LB '!AF380+FR!AF116+JN!AF165+TA!AF93+ŽB!AF71+ČL!AF238+NB!AF110+SM!AF143+JI!AF121+TU!AF165</f>
        <v>-1.4000000000000001</v>
      </c>
      <c r="Z36" s="124">
        <f>'LB '!AG380+FR!AG116+JN!AG165+TA!AG93+ŽB!AG71+ČL!AG238+NB!AG110+SM!AG143+JI!AG121+TU!AG165</f>
        <v>0</v>
      </c>
      <c r="AA36" s="124">
        <f>'LB '!AH380+FR!AH116+JN!AH165+TA!AH93+ŽB!AH71+ČL!AH238+NB!AH110+SM!AH143+JI!AH121+TU!AH165</f>
        <v>0</v>
      </c>
      <c r="AB36" s="124">
        <f>'LB '!AI380+FR!AI116+JN!AI165+TA!AI93+ŽB!AI71+ČL!AI238+NB!AI110+SM!AI143+JI!AI121+TU!AI165</f>
        <v>0</v>
      </c>
      <c r="AC36" s="124">
        <f>'LB '!AJ380+FR!AJ116+JN!AJ165+TA!AJ93+ŽB!AJ71+ČL!AJ238+NB!AJ110+SM!AJ143+JI!AJ121+TU!AJ165</f>
        <v>0</v>
      </c>
      <c r="AD36" s="124">
        <f>'LB '!AK380+FR!AK116+JN!AK165+TA!AK93+ŽB!AK71+ČL!AK238+NB!AK110+SM!AK143+JI!AK121+TU!AK165</f>
        <v>0</v>
      </c>
      <c r="AE36" s="635">
        <f>'LB '!AL380+FR!AL116+JN!AL165+TA!AL93+ŽB!AL71+ČL!AL238+NB!AL110+SM!AL143+JI!AL121+TU!AL165</f>
        <v>-1.4000000000000001</v>
      </c>
      <c r="AF36" s="122">
        <f>'LB '!AM380+FR!AM116+JN!AM165+TA!AM93+ŽB!AM71+ČL!AM238+NB!AM110+SM!AM143+JI!AM121+TU!AM165</f>
        <v>46320445</v>
      </c>
      <c r="AG36" s="123">
        <f>'LB '!AN380+FR!AN116+JN!AN165+TA!AN93+ŽB!AN71+ČL!AN238+NB!AN110+SM!AN143+JI!AN121+TU!AN165</f>
        <v>31965262</v>
      </c>
      <c r="AH36" s="123">
        <f>'LB '!AO380+FR!AO116+JN!AO165+TA!AO93+ŽB!AO71+ČL!AO238+NB!AO110+SM!AO143+JI!AO121+TU!AO165</f>
        <v>2415000</v>
      </c>
      <c r="AI36" s="123">
        <f>'LB '!AP380+FR!AP116+JN!AP165+TA!AP93+ŽB!AP71+ČL!AP238+NB!AP110+SM!AP143+JI!AP121+TU!AP165</f>
        <v>11620530</v>
      </c>
      <c r="AJ36" s="123">
        <f>'LB '!AQ380+FR!AQ116+JN!AQ165+TA!AQ93+ŽB!AQ71+ČL!AQ238+NB!AQ110+SM!AQ143+JI!AQ121+TU!AQ165</f>
        <v>319653</v>
      </c>
      <c r="AK36" s="123">
        <f>'LB '!AR380+FR!AR116+JN!AR165+TA!AR93+ŽB!AR71+ČL!AR238+NB!AR110+SM!AR143+JI!AR121+TU!AR165</f>
        <v>0</v>
      </c>
      <c r="AL36" s="635">
        <f>'LB '!AS380+FR!AS116+JN!AS165+TA!AS93+ŽB!AS71+ČL!AS238+NB!AS110+SM!AS143+JI!AS121+TU!AS165</f>
        <v>53.94</v>
      </c>
    </row>
    <row r="37" spans="1:38" x14ac:dyDescent="0.2">
      <c r="A37" s="8"/>
      <c r="B37" s="13"/>
      <c r="C37" s="13"/>
      <c r="D37" s="13"/>
      <c r="E37" s="13"/>
      <c r="F37" s="13"/>
      <c r="G37" s="13"/>
      <c r="H37" s="830"/>
    </row>
  </sheetData>
  <mergeCells count="46">
    <mergeCell ref="M10:M11"/>
    <mergeCell ref="I8:O9"/>
    <mergeCell ref="F10:F11"/>
    <mergeCell ref="J10:J11"/>
    <mergeCell ref="K10:K11"/>
    <mergeCell ref="A3:H3"/>
    <mergeCell ref="B9:B11"/>
    <mergeCell ref="B7:H8"/>
    <mergeCell ref="C10:C11"/>
    <mergeCell ref="E10:E11"/>
    <mergeCell ref="H9:H11"/>
    <mergeCell ref="G10:G11"/>
    <mergeCell ref="C9:F9"/>
    <mergeCell ref="D10:D11"/>
    <mergeCell ref="AL9:AL11"/>
    <mergeCell ref="AG10:AG11"/>
    <mergeCell ref="S10:S11"/>
    <mergeCell ref="Y9:Y11"/>
    <mergeCell ref="AH10:AH11"/>
    <mergeCell ref="AB9:AB11"/>
    <mergeCell ref="AC9:AC11"/>
    <mergeCell ref="P8:S9"/>
    <mergeCell ref="U8:U11"/>
    <mergeCell ref="V8:V11"/>
    <mergeCell ref="X8:X11"/>
    <mergeCell ref="AA9:AA11"/>
    <mergeCell ref="AF7:AL8"/>
    <mergeCell ref="AK10:AK11"/>
    <mergeCell ref="I7:AE7"/>
    <mergeCell ref="Y8:AE8"/>
    <mergeCell ref="AG9:AJ9"/>
    <mergeCell ref="AJ10:AJ11"/>
    <mergeCell ref="AI10:AI11"/>
    <mergeCell ref="I10:I11"/>
    <mergeCell ref="L10:L11"/>
    <mergeCell ref="N10:N11"/>
    <mergeCell ref="O10:O11"/>
    <mergeCell ref="Q10:Q11"/>
    <mergeCell ref="P10:P11"/>
    <mergeCell ref="R10:R11"/>
    <mergeCell ref="T8:T11"/>
    <mergeCell ref="AD9:AD11"/>
    <mergeCell ref="AE9:AE11"/>
    <mergeCell ref="Z9:Z11"/>
    <mergeCell ref="W8:W11"/>
    <mergeCell ref="AF9:AF11"/>
  </mergeCells>
  <pageMargins left="0.7" right="0.7" top="0.78740157499999996" bottom="0.78740157499999996" header="0.3" footer="0.3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75D6-95EA-4452-AFDC-DB112C87746B}">
  <dimension ref="A1:AS468"/>
  <sheetViews>
    <sheetView zoomScaleNormal="100" workbookViewId="0">
      <pane xSplit="8" ySplit="11" topLeftCell="AC325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ColWidth="9.140625" defaultRowHeight="11.25" x14ac:dyDescent="0.2"/>
  <cols>
    <col min="1" max="1" width="5" style="474" customWidth="1"/>
    <col min="2" max="2" width="4.7109375" style="475" customWidth="1"/>
    <col min="3" max="3" width="8.7109375" style="475" customWidth="1"/>
    <col min="4" max="4" width="7.85546875" style="475" customWidth="1"/>
    <col min="5" max="5" width="31.28515625" style="474" customWidth="1"/>
    <col min="6" max="6" width="4.42578125" style="474" customWidth="1"/>
    <col min="7" max="7" width="10" style="474" customWidth="1"/>
    <col min="8" max="8" width="9.42578125" style="474" customWidth="1"/>
    <col min="9" max="9" width="12.5703125" style="473" customWidth="1"/>
    <col min="10" max="11" width="13.28515625" style="473" customWidth="1"/>
    <col min="12" max="12" width="12.42578125" style="473" customWidth="1"/>
    <col min="13" max="14" width="11.7109375" style="473" customWidth="1"/>
    <col min="15" max="15" width="9.7109375" style="472" customWidth="1"/>
    <col min="16" max="18" width="10.85546875" style="473" customWidth="1"/>
    <col min="19" max="20" width="10.5703125" style="473" customWidth="1"/>
    <col min="21" max="21" width="10.85546875" style="473" customWidth="1"/>
    <col min="22" max="22" width="11.7109375" style="473" customWidth="1"/>
    <col min="23" max="30" width="10.85546875" style="473" customWidth="1"/>
    <col min="31" max="31" width="12.28515625" style="473" customWidth="1"/>
    <col min="32" max="34" width="9.28515625" style="472" customWidth="1"/>
    <col min="35" max="35" width="10" style="472" customWidth="1"/>
    <col min="36" max="36" width="10.5703125" style="472" customWidth="1"/>
    <col min="37" max="37" width="10.140625" style="472" customWidth="1"/>
    <col min="38" max="38" width="9.28515625" style="472" customWidth="1"/>
    <col min="39" max="39" width="11.5703125" style="473" customWidth="1"/>
    <col min="40" max="40" width="12.28515625" style="473" customWidth="1"/>
    <col min="41" max="41" width="11.7109375" style="473" customWidth="1"/>
    <col min="42" max="42" width="11.5703125" style="473" customWidth="1"/>
    <col min="43" max="44" width="10.5703125" style="473" customWidth="1"/>
    <col min="45" max="45" width="9.5703125" style="472" customWidth="1"/>
    <col min="46" max="46" width="9.140625" style="471" customWidth="1"/>
    <col min="47" max="16384" width="9.140625" style="471"/>
  </cols>
  <sheetData>
    <row r="1" spans="1:45" ht="12.75" x14ac:dyDescent="0.2">
      <c r="A1" s="46" t="s">
        <v>2</v>
      </c>
      <c r="B1" s="46"/>
      <c r="C1" s="38"/>
      <c r="D1" s="46"/>
      <c r="E1" s="46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6"/>
      <c r="AP1" s="476"/>
      <c r="AQ1" s="476"/>
      <c r="AR1" s="476"/>
      <c r="AS1" s="476"/>
    </row>
    <row r="2" spans="1:45" ht="12.75" x14ac:dyDescent="0.2">
      <c r="A2" s="46" t="s">
        <v>3</v>
      </c>
      <c r="B2" s="46"/>
      <c r="C2" s="38"/>
      <c r="D2" s="46"/>
      <c r="E2" s="46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</row>
    <row r="3" spans="1:45" ht="12" x14ac:dyDescent="0.2">
      <c r="A3" s="40" t="s">
        <v>4</v>
      </c>
      <c r="B3" s="40"/>
      <c r="C3" s="40"/>
      <c r="D3" s="40"/>
      <c r="E3" s="40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</row>
    <row r="4" spans="1:45" ht="12" x14ac:dyDescent="0.2">
      <c r="A4" s="46"/>
      <c r="B4" s="46"/>
      <c r="C4" s="46"/>
      <c r="D4" s="46"/>
      <c r="E4" s="46"/>
      <c r="I4" s="474"/>
      <c r="J4" s="474"/>
      <c r="K4" s="474"/>
      <c r="L4" s="474"/>
      <c r="M4" s="474"/>
      <c r="N4" s="474"/>
      <c r="O4" s="476"/>
      <c r="Q4" s="845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G4" s="845"/>
    </row>
    <row r="5" spans="1:45" ht="16.5" thickBot="1" x14ac:dyDescent="0.3">
      <c r="A5" s="127" t="s">
        <v>828</v>
      </c>
      <c r="F5" s="548"/>
      <c r="G5" s="548"/>
      <c r="I5" s="474"/>
      <c r="J5" s="474"/>
      <c r="K5" s="474"/>
      <c r="L5" s="474"/>
      <c r="M5" s="474"/>
      <c r="N5" s="474"/>
      <c r="O5" s="476"/>
      <c r="Q5" s="851" t="s">
        <v>815</v>
      </c>
      <c r="S5" s="379"/>
      <c r="T5" s="379"/>
      <c r="AG5" s="851" t="s">
        <v>815</v>
      </c>
    </row>
    <row r="6" spans="1:45" ht="16.5" customHeight="1" thickBot="1" x14ac:dyDescent="0.25">
      <c r="A6" s="547"/>
      <c r="B6" s="545"/>
      <c r="C6" s="546"/>
      <c r="D6" s="546"/>
      <c r="E6" s="545"/>
      <c r="F6" s="545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B7" s="5"/>
      <c r="C7"/>
      <c r="D7" s="9"/>
      <c r="E7" s="5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1.25" customHeight="1" x14ac:dyDescent="0.2">
      <c r="A8" s="544"/>
      <c r="B8" s="543"/>
      <c r="C8" s="543"/>
      <c r="D8" s="543"/>
      <c r="E8" s="542"/>
      <c r="F8" s="541"/>
      <c r="G8" s="540"/>
      <c r="H8" s="540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22.5" customHeight="1" thickBot="1" x14ac:dyDescent="0.25">
      <c r="A9" s="86" t="s">
        <v>723</v>
      </c>
      <c r="B9"/>
      <c r="C9"/>
      <c r="D9" s="10"/>
      <c r="E9"/>
      <c r="F9" s="541"/>
      <c r="G9" s="540"/>
      <c r="H9" s="540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3.25" thickBot="1" x14ac:dyDescent="0.25">
      <c r="A10" s="539" t="s">
        <v>729</v>
      </c>
      <c r="B10" s="538" t="s">
        <v>512</v>
      </c>
      <c r="C10" s="538" t="s">
        <v>513</v>
      </c>
      <c r="D10" s="538" t="s">
        <v>250</v>
      </c>
      <c r="E10" s="115" t="s">
        <v>731</v>
      </c>
      <c r="F10" s="538" t="s">
        <v>0</v>
      </c>
      <c r="G10" s="537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529" customFormat="1" ht="11.25" customHeight="1" thickBot="1" x14ac:dyDescent="0.25">
      <c r="A11" s="536" t="s">
        <v>514</v>
      </c>
      <c r="B11" s="535" t="s">
        <v>515</v>
      </c>
      <c r="C11" s="535" t="s">
        <v>252</v>
      </c>
      <c r="D11" s="535" t="s">
        <v>253</v>
      </c>
      <c r="E11" s="535" t="s">
        <v>516</v>
      </c>
      <c r="F11" s="535" t="s">
        <v>0</v>
      </c>
      <c r="G11" s="535" t="s">
        <v>517</v>
      </c>
      <c r="H11" s="534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70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70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ht="14.1" customHeight="1" x14ac:dyDescent="0.2">
      <c r="A12" s="526">
        <v>1</v>
      </c>
      <c r="B12" s="527">
        <v>2330</v>
      </c>
      <c r="C12" s="528">
        <v>691009571</v>
      </c>
      <c r="D12" s="527">
        <v>71294511</v>
      </c>
      <c r="E12" s="525" t="s">
        <v>518</v>
      </c>
      <c r="F12" s="526">
        <v>3233</v>
      </c>
      <c r="G12" s="525" t="s">
        <v>283</v>
      </c>
      <c r="H12" s="524" t="s">
        <v>263</v>
      </c>
      <c r="I12" s="579">
        <v>7596596</v>
      </c>
      <c r="J12" s="521">
        <v>5039908</v>
      </c>
      <c r="K12" s="521">
        <v>600000</v>
      </c>
      <c r="L12" s="434">
        <v>1906289</v>
      </c>
      <c r="M12" s="434">
        <v>50399</v>
      </c>
      <c r="N12" s="434">
        <v>0</v>
      </c>
      <c r="O12" s="836">
        <v>8.51</v>
      </c>
      <c r="P12" s="620">
        <f>W12*-1</f>
        <v>0</v>
      </c>
      <c r="Q12" s="523">
        <v>0</v>
      </c>
      <c r="R12" s="523">
        <v>0</v>
      </c>
      <c r="S12" s="523">
        <v>0</v>
      </c>
      <c r="T12" s="523">
        <v>0</v>
      </c>
      <c r="U12" s="523">
        <v>0</v>
      </c>
      <c r="V12" s="523">
        <f>P12+Q12+R12+S12+T12+U12</f>
        <v>0</v>
      </c>
      <c r="W12" s="523">
        <v>0</v>
      </c>
      <c r="X12" s="523">
        <v>0</v>
      </c>
      <c r="Y12" s="523">
        <v>0</v>
      </c>
      <c r="Z12" s="523">
        <f>W12+X12+Y12</f>
        <v>0</v>
      </c>
      <c r="AA12" s="523">
        <f>V12+Z12</f>
        <v>0</v>
      </c>
      <c r="AB12" s="621">
        <f>ROUND((V12+Z12)*33.8%,0)</f>
        <v>0</v>
      </c>
      <c r="AC12" s="621">
        <f>ROUND(V12*1%,0)</f>
        <v>0</v>
      </c>
      <c r="AD12" s="434">
        <v>0</v>
      </c>
      <c r="AE12" s="789">
        <f>AA12+AB12+AC12+AD12</f>
        <v>0</v>
      </c>
      <c r="AF12" s="801">
        <v>0</v>
      </c>
      <c r="AG12" s="576">
        <v>0</v>
      </c>
      <c r="AH12" s="576">
        <v>0</v>
      </c>
      <c r="AI12" s="576">
        <v>0</v>
      </c>
      <c r="AJ12" s="576">
        <v>0</v>
      </c>
      <c r="AK12" s="576">
        <v>0</v>
      </c>
      <c r="AL12" s="675">
        <f>SUM(AF12:AK12)</f>
        <v>0</v>
      </c>
      <c r="AM12" s="590">
        <f>I12+AE12</f>
        <v>7596596</v>
      </c>
      <c r="AN12" s="573">
        <f>J12+V12</f>
        <v>5039908</v>
      </c>
      <c r="AO12" s="573">
        <f>K12+Z12</f>
        <v>600000</v>
      </c>
      <c r="AP12" s="573">
        <f>L12+AB12</f>
        <v>1906289</v>
      </c>
      <c r="AQ12" s="573">
        <f>M12+AC12</f>
        <v>50399</v>
      </c>
      <c r="AR12" s="573">
        <f>N12+AD12</f>
        <v>0</v>
      </c>
      <c r="AS12" s="675">
        <f>O12+AL12</f>
        <v>8.51</v>
      </c>
    </row>
    <row r="13" spans="1:45" ht="14.1" customHeight="1" x14ac:dyDescent="0.2">
      <c r="A13" s="509">
        <v>1</v>
      </c>
      <c r="B13" s="507">
        <v>2330</v>
      </c>
      <c r="C13" s="508">
        <v>691009571</v>
      </c>
      <c r="D13" s="507">
        <v>71294511</v>
      </c>
      <c r="E13" s="505" t="s">
        <v>519</v>
      </c>
      <c r="F13" s="509"/>
      <c r="G13" s="505"/>
      <c r="H13" s="504"/>
      <c r="I13" s="612">
        <v>7596596</v>
      </c>
      <c r="J13" s="503">
        <v>5039908</v>
      </c>
      <c r="K13" s="503">
        <v>600000</v>
      </c>
      <c r="L13" s="503">
        <v>1906289</v>
      </c>
      <c r="M13" s="503">
        <v>50399</v>
      </c>
      <c r="N13" s="503">
        <v>0</v>
      </c>
      <c r="O13" s="837">
        <v>8.51</v>
      </c>
      <c r="P13" s="612">
        <f t="shared" ref="P13:AO13" si="0">SUM(P12)</f>
        <v>0</v>
      </c>
      <c r="Q13" s="502">
        <f t="shared" si="0"/>
        <v>0</v>
      </c>
      <c r="R13" s="502">
        <f t="shared" si="0"/>
        <v>0</v>
      </c>
      <c r="S13" s="502">
        <f t="shared" si="0"/>
        <v>0</v>
      </c>
      <c r="T13" s="502">
        <f t="shared" si="0"/>
        <v>0</v>
      </c>
      <c r="U13" s="502">
        <f t="shared" si="0"/>
        <v>0</v>
      </c>
      <c r="V13" s="502">
        <f t="shared" si="0"/>
        <v>0</v>
      </c>
      <c r="W13" s="502">
        <f t="shared" si="0"/>
        <v>0</v>
      </c>
      <c r="X13" s="502">
        <f t="shared" si="0"/>
        <v>0</v>
      </c>
      <c r="Y13" s="502">
        <f t="shared" si="0"/>
        <v>0</v>
      </c>
      <c r="Z13" s="502">
        <f t="shared" si="0"/>
        <v>0</v>
      </c>
      <c r="AA13" s="502">
        <f t="shared" si="0"/>
        <v>0</v>
      </c>
      <c r="AB13" s="502">
        <f t="shared" si="0"/>
        <v>0</v>
      </c>
      <c r="AC13" s="502">
        <f t="shared" si="0"/>
        <v>0</v>
      </c>
      <c r="AD13" s="502">
        <f t="shared" si="0"/>
        <v>0</v>
      </c>
      <c r="AE13" s="852">
        <f t="shared" si="0"/>
        <v>0</v>
      </c>
      <c r="AF13" s="857">
        <f t="shared" si="0"/>
        <v>0</v>
      </c>
      <c r="AG13" s="847">
        <f t="shared" si="0"/>
        <v>0</v>
      </c>
      <c r="AH13" s="848">
        <f t="shared" si="0"/>
        <v>0</v>
      </c>
      <c r="AI13" s="848">
        <f t="shared" si="0"/>
        <v>0</v>
      </c>
      <c r="AJ13" s="848">
        <f t="shared" si="0"/>
        <v>0</v>
      </c>
      <c r="AK13" s="848">
        <f t="shared" si="0"/>
        <v>0</v>
      </c>
      <c r="AL13" s="613">
        <f t="shared" si="0"/>
        <v>0</v>
      </c>
      <c r="AM13" s="612">
        <f t="shared" si="0"/>
        <v>7596596</v>
      </c>
      <c r="AN13" s="502">
        <f t="shared" si="0"/>
        <v>5039908</v>
      </c>
      <c r="AO13" s="502">
        <f t="shared" si="0"/>
        <v>600000</v>
      </c>
      <c r="AP13" s="502">
        <f t="shared" ref="AP13:AS13" si="1">SUM(AP12)</f>
        <v>1906289</v>
      </c>
      <c r="AQ13" s="502">
        <f t="shared" si="1"/>
        <v>50399</v>
      </c>
      <c r="AR13" s="502">
        <f t="shared" si="1"/>
        <v>0</v>
      </c>
      <c r="AS13" s="613">
        <f t="shared" si="1"/>
        <v>8.51</v>
      </c>
    </row>
    <row r="14" spans="1:45" ht="14.1" customHeight="1" x14ac:dyDescent="0.2">
      <c r="A14" s="499">
        <v>2</v>
      </c>
      <c r="B14" s="511">
        <v>2415</v>
      </c>
      <c r="C14" s="512">
        <v>600079465</v>
      </c>
      <c r="D14" s="511">
        <v>72742186</v>
      </c>
      <c r="E14" s="510" t="s">
        <v>520</v>
      </c>
      <c r="F14" s="499">
        <v>3111</v>
      </c>
      <c r="G14" s="510" t="s">
        <v>277</v>
      </c>
      <c r="H14" s="495" t="s">
        <v>262</v>
      </c>
      <c r="I14" s="610">
        <v>7642716</v>
      </c>
      <c r="J14" s="14">
        <v>5610116</v>
      </c>
      <c r="K14" s="14">
        <v>60000</v>
      </c>
      <c r="L14" s="14">
        <v>1916499</v>
      </c>
      <c r="M14" s="14">
        <v>56101</v>
      </c>
      <c r="N14" s="14">
        <v>0</v>
      </c>
      <c r="O14" s="121">
        <v>9.1881000000000004</v>
      </c>
      <c r="P14" s="676">
        <f t="shared" ref="P14:P76" si="2">W14*-1</f>
        <v>0</v>
      </c>
      <c r="Q14" s="492">
        <v>0</v>
      </c>
      <c r="R14" s="492">
        <v>0</v>
      </c>
      <c r="S14" s="492">
        <v>0</v>
      </c>
      <c r="T14" s="492">
        <v>0</v>
      </c>
      <c r="U14" s="492">
        <v>0</v>
      </c>
      <c r="V14" s="492">
        <f>P14+Q14+R14+S14+T14+U14</f>
        <v>0</v>
      </c>
      <c r="W14" s="492">
        <v>0</v>
      </c>
      <c r="X14" s="492">
        <v>0</v>
      </c>
      <c r="Y14" s="492">
        <v>0</v>
      </c>
      <c r="Z14" s="492">
        <f t="shared" ref="Z14:Z16" si="3">W14+X14+Y14</f>
        <v>0</v>
      </c>
      <c r="AA14" s="492">
        <f t="shared" ref="AA14:AA16" si="4">V14+Z14</f>
        <v>0</v>
      </c>
      <c r="AB14" s="494">
        <f t="shared" ref="AB14:AB16" si="5">ROUND((V14+Z14)*33.8%,0)</f>
        <v>0</v>
      </c>
      <c r="AC14" s="494">
        <f>ROUND(V14*1%,0)</f>
        <v>0</v>
      </c>
      <c r="AD14" s="14">
        <v>0</v>
      </c>
      <c r="AE14" s="753">
        <f t="shared" ref="AE14:AE76" si="6">AA14+AB14+AC14+AD14</f>
        <v>0</v>
      </c>
      <c r="AF14" s="858">
        <v>0</v>
      </c>
      <c r="AG14" s="491">
        <v>0</v>
      </c>
      <c r="AH14" s="491">
        <v>0</v>
      </c>
      <c r="AI14" s="491">
        <v>0</v>
      </c>
      <c r="AJ14" s="491">
        <v>0</v>
      </c>
      <c r="AK14" s="491">
        <v>0</v>
      </c>
      <c r="AL14" s="609">
        <f>SUM(AF14:AK14)</f>
        <v>0</v>
      </c>
      <c r="AM14" s="676">
        <f>I14+AE14</f>
        <v>7642716</v>
      </c>
      <c r="AN14" s="492">
        <f>J14+V14</f>
        <v>5610116</v>
      </c>
      <c r="AO14" s="492">
        <f>K14+Z14</f>
        <v>60000</v>
      </c>
      <c r="AP14" s="492">
        <f t="shared" ref="AP14:AR16" si="7">L14+AB14</f>
        <v>1916499</v>
      </c>
      <c r="AQ14" s="492">
        <f t="shared" si="7"/>
        <v>56101</v>
      </c>
      <c r="AR14" s="492">
        <f t="shared" si="7"/>
        <v>0</v>
      </c>
      <c r="AS14" s="609">
        <f>O14+AL14</f>
        <v>9.1881000000000004</v>
      </c>
    </row>
    <row r="15" spans="1:45" ht="14.1" customHeight="1" x14ac:dyDescent="0.2">
      <c r="A15" s="499">
        <v>2</v>
      </c>
      <c r="B15" s="511">
        <v>2415</v>
      </c>
      <c r="C15" s="512">
        <v>600079465</v>
      </c>
      <c r="D15" s="511">
        <v>72742186</v>
      </c>
      <c r="E15" s="510" t="s">
        <v>520</v>
      </c>
      <c r="F15" s="499">
        <v>3111</v>
      </c>
      <c r="G15" s="39" t="s">
        <v>279</v>
      </c>
      <c r="H15" s="495" t="s">
        <v>262</v>
      </c>
      <c r="I15" s="610">
        <v>505284</v>
      </c>
      <c r="J15" s="14">
        <v>354988</v>
      </c>
      <c r="K15" s="14">
        <v>20000</v>
      </c>
      <c r="L15" s="14">
        <v>126746</v>
      </c>
      <c r="M15" s="14">
        <v>3550</v>
      </c>
      <c r="N15" s="14">
        <v>0</v>
      </c>
      <c r="O15" s="121">
        <v>1</v>
      </c>
      <c r="P15" s="676">
        <f t="shared" si="2"/>
        <v>0</v>
      </c>
      <c r="Q15" s="492">
        <v>0</v>
      </c>
      <c r="R15" s="492">
        <v>0</v>
      </c>
      <c r="S15" s="492">
        <v>0</v>
      </c>
      <c r="T15" s="492">
        <v>0</v>
      </c>
      <c r="U15" s="492">
        <v>0</v>
      </c>
      <c r="V15" s="492">
        <f>P15+Q15+R15+S15+T15+U15</f>
        <v>0</v>
      </c>
      <c r="W15" s="492">
        <v>0</v>
      </c>
      <c r="X15" s="492">
        <v>0</v>
      </c>
      <c r="Y15" s="492">
        <v>0</v>
      </c>
      <c r="Z15" s="492">
        <f t="shared" si="3"/>
        <v>0</v>
      </c>
      <c r="AA15" s="492">
        <f t="shared" si="4"/>
        <v>0</v>
      </c>
      <c r="AB15" s="494">
        <f t="shared" si="5"/>
        <v>0</v>
      </c>
      <c r="AC15" s="494">
        <f>ROUND(V15*1%,0)</f>
        <v>0</v>
      </c>
      <c r="AD15" s="14">
        <v>0</v>
      </c>
      <c r="AE15" s="753">
        <f t="shared" si="6"/>
        <v>0</v>
      </c>
      <c r="AF15" s="858">
        <v>0</v>
      </c>
      <c r="AG15" s="491">
        <v>0</v>
      </c>
      <c r="AH15" s="491">
        <v>0</v>
      </c>
      <c r="AI15" s="491">
        <v>0</v>
      </c>
      <c r="AJ15" s="491">
        <v>0</v>
      </c>
      <c r="AK15" s="491">
        <v>0</v>
      </c>
      <c r="AL15" s="609">
        <f>SUM(AF15:AK15)</f>
        <v>0</v>
      </c>
      <c r="AM15" s="676">
        <f>I15+AE15</f>
        <v>505284</v>
      </c>
      <c r="AN15" s="492">
        <f>J15+V15</f>
        <v>354988</v>
      </c>
      <c r="AO15" s="492">
        <f t="shared" ref="AO15:AO16" si="8">K15+Z15</f>
        <v>20000</v>
      </c>
      <c r="AP15" s="492">
        <f t="shared" si="7"/>
        <v>126746</v>
      </c>
      <c r="AQ15" s="492">
        <f t="shared" si="7"/>
        <v>3550</v>
      </c>
      <c r="AR15" s="573">
        <f t="shared" si="7"/>
        <v>0</v>
      </c>
      <c r="AS15" s="609">
        <f>O15+AL15</f>
        <v>1</v>
      </c>
    </row>
    <row r="16" spans="1:45" ht="14.1" customHeight="1" x14ac:dyDescent="0.2">
      <c r="A16" s="499">
        <v>2</v>
      </c>
      <c r="B16" s="511">
        <v>2415</v>
      </c>
      <c r="C16" s="512">
        <v>600079465</v>
      </c>
      <c r="D16" s="511">
        <v>72742186</v>
      </c>
      <c r="E16" s="510" t="s">
        <v>520</v>
      </c>
      <c r="F16" s="499">
        <v>3111</v>
      </c>
      <c r="G16" s="510" t="s">
        <v>278</v>
      </c>
      <c r="H16" s="495" t="s">
        <v>263</v>
      </c>
      <c r="I16" s="610">
        <v>1456004</v>
      </c>
      <c r="J16" s="490">
        <v>1070196</v>
      </c>
      <c r="K16" s="490">
        <v>10000</v>
      </c>
      <c r="L16" s="14">
        <v>365106</v>
      </c>
      <c r="M16" s="14">
        <v>10702</v>
      </c>
      <c r="N16" s="14">
        <v>0</v>
      </c>
      <c r="O16" s="664">
        <v>2.5</v>
      </c>
      <c r="P16" s="676">
        <f t="shared" si="2"/>
        <v>0</v>
      </c>
      <c r="Q16" s="492">
        <v>0</v>
      </c>
      <c r="R16" s="492">
        <v>0</v>
      </c>
      <c r="S16" s="492">
        <v>0</v>
      </c>
      <c r="T16" s="492">
        <v>0</v>
      </c>
      <c r="U16" s="492">
        <v>0</v>
      </c>
      <c r="V16" s="492">
        <f>P16+Q16+R16+S16+T16+U16</f>
        <v>0</v>
      </c>
      <c r="W16" s="492">
        <v>0</v>
      </c>
      <c r="X16" s="492">
        <v>0</v>
      </c>
      <c r="Y16" s="492">
        <v>0</v>
      </c>
      <c r="Z16" s="492">
        <f t="shared" si="3"/>
        <v>0</v>
      </c>
      <c r="AA16" s="492">
        <f t="shared" si="4"/>
        <v>0</v>
      </c>
      <c r="AB16" s="494">
        <f t="shared" si="5"/>
        <v>0</v>
      </c>
      <c r="AC16" s="494">
        <f>ROUND(V16*1%,0)</f>
        <v>0</v>
      </c>
      <c r="AD16" s="14">
        <v>0</v>
      </c>
      <c r="AE16" s="753">
        <f t="shared" si="6"/>
        <v>0</v>
      </c>
      <c r="AF16" s="858">
        <v>0</v>
      </c>
      <c r="AG16" s="491">
        <v>0</v>
      </c>
      <c r="AH16" s="491">
        <v>0</v>
      </c>
      <c r="AI16" s="491">
        <v>0</v>
      </c>
      <c r="AJ16" s="491">
        <v>0</v>
      </c>
      <c r="AK16" s="491">
        <v>0</v>
      </c>
      <c r="AL16" s="609">
        <f>SUM(AF16:AK16)</f>
        <v>0</v>
      </c>
      <c r="AM16" s="676">
        <f>I16+AE16</f>
        <v>1456004</v>
      </c>
      <c r="AN16" s="492">
        <f>J16+V16</f>
        <v>1070196</v>
      </c>
      <c r="AO16" s="492">
        <f t="shared" si="8"/>
        <v>10000</v>
      </c>
      <c r="AP16" s="492">
        <f t="shared" si="7"/>
        <v>365106</v>
      </c>
      <c r="AQ16" s="492">
        <f t="shared" si="7"/>
        <v>10702</v>
      </c>
      <c r="AR16" s="573">
        <f t="shared" si="7"/>
        <v>0</v>
      </c>
      <c r="AS16" s="609">
        <f>O16+AL16</f>
        <v>2.5</v>
      </c>
    </row>
    <row r="17" spans="1:45" ht="14.1" customHeight="1" x14ac:dyDescent="0.2">
      <c r="A17" s="509">
        <v>2</v>
      </c>
      <c r="B17" s="507">
        <v>2415</v>
      </c>
      <c r="C17" s="508">
        <v>600079465</v>
      </c>
      <c r="D17" s="507">
        <v>72742186</v>
      </c>
      <c r="E17" s="505" t="s">
        <v>521</v>
      </c>
      <c r="F17" s="509"/>
      <c r="G17" s="505"/>
      <c r="H17" s="504"/>
      <c r="I17" s="612">
        <v>9604004</v>
      </c>
      <c r="J17" s="503">
        <v>7035300</v>
      </c>
      <c r="K17" s="503">
        <v>90000</v>
      </c>
      <c r="L17" s="503">
        <v>2408351</v>
      </c>
      <c r="M17" s="503">
        <v>70353</v>
      </c>
      <c r="N17" s="503">
        <v>0</v>
      </c>
      <c r="O17" s="837">
        <v>12.6881</v>
      </c>
      <c r="P17" s="612">
        <f t="shared" ref="P17:AS17" si="9">SUM(P14:P16)</f>
        <v>0</v>
      </c>
      <c r="Q17" s="502">
        <f t="shared" si="9"/>
        <v>0</v>
      </c>
      <c r="R17" s="502">
        <f t="shared" si="9"/>
        <v>0</v>
      </c>
      <c r="S17" s="502">
        <f t="shared" si="9"/>
        <v>0</v>
      </c>
      <c r="T17" s="502">
        <f t="shared" si="9"/>
        <v>0</v>
      </c>
      <c r="U17" s="502">
        <f t="shared" si="9"/>
        <v>0</v>
      </c>
      <c r="V17" s="502">
        <f t="shared" si="9"/>
        <v>0</v>
      </c>
      <c r="W17" s="502">
        <f t="shared" si="9"/>
        <v>0</v>
      </c>
      <c r="X17" s="502">
        <f t="shared" si="9"/>
        <v>0</v>
      </c>
      <c r="Y17" s="502">
        <f t="shared" si="9"/>
        <v>0</v>
      </c>
      <c r="Z17" s="502">
        <f t="shared" si="9"/>
        <v>0</v>
      </c>
      <c r="AA17" s="502">
        <f t="shared" si="9"/>
        <v>0</v>
      </c>
      <c r="AB17" s="502">
        <f t="shared" si="9"/>
        <v>0</v>
      </c>
      <c r="AC17" s="502">
        <f t="shared" si="9"/>
        <v>0</v>
      </c>
      <c r="AD17" s="502">
        <f t="shared" si="9"/>
        <v>0</v>
      </c>
      <c r="AE17" s="852">
        <f t="shared" si="9"/>
        <v>0</v>
      </c>
      <c r="AF17" s="857">
        <f t="shared" si="9"/>
        <v>0</v>
      </c>
      <c r="AG17" s="848">
        <f t="shared" si="9"/>
        <v>0</v>
      </c>
      <c r="AH17" s="848">
        <f t="shared" si="9"/>
        <v>0</v>
      </c>
      <c r="AI17" s="848">
        <f t="shared" si="9"/>
        <v>0</v>
      </c>
      <c r="AJ17" s="848">
        <f t="shared" si="9"/>
        <v>0</v>
      </c>
      <c r="AK17" s="848">
        <f t="shared" si="9"/>
        <v>0</v>
      </c>
      <c r="AL17" s="613">
        <f t="shared" si="9"/>
        <v>0</v>
      </c>
      <c r="AM17" s="612">
        <f t="shared" si="9"/>
        <v>9604004</v>
      </c>
      <c r="AN17" s="502">
        <f t="shared" si="9"/>
        <v>7035300</v>
      </c>
      <c r="AO17" s="549">
        <f t="shared" si="9"/>
        <v>90000</v>
      </c>
      <c r="AP17" s="502">
        <f t="shared" si="9"/>
        <v>2408351</v>
      </c>
      <c r="AQ17" s="502">
        <f t="shared" si="9"/>
        <v>70353</v>
      </c>
      <c r="AR17" s="502">
        <f t="shared" si="9"/>
        <v>0</v>
      </c>
      <c r="AS17" s="613">
        <f t="shared" si="9"/>
        <v>12.6881</v>
      </c>
    </row>
    <row r="18" spans="1:45" ht="14.1" customHeight="1" x14ac:dyDescent="0.2">
      <c r="A18" s="499">
        <v>3</v>
      </c>
      <c r="B18" s="511">
        <v>2442</v>
      </c>
      <c r="C18" s="512">
        <v>600079066</v>
      </c>
      <c r="D18" s="511">
        <v>72742101</v>
      </c>
      <c r="E18" s="510" t="s">
        <v>522</v>
      </c>
      <c r="F18" s="499">
        <v>3111</v>
      </c>
      <c r="G18" s="510" t="s">
        <v>277</v>
      </c>
      <c r="H18" s="495" t="s">
        <v>262</v>
      </c>
      <c r="I18" s="610">
        <v>8103348</v>
      </c>
      <c r="J18" s="14">
        <v>6011386</v>
      </c>
      <c r="K18" s="14">
        <v>0</v>
      </c>
      <c r="L18" s="14">
        <v>2031848</v>
      </c>
      <c r="M18" s="14">
        <v>60114</v>
      </c>
      <c r="N18" s="14">
        <v>0</v>
      </c>
      <c r="O18" s="121">
        <v>10</v>
      </c>
      <c r="P18" s="676">
        <f t="shared" si="2"/>
        <v>0</v>
      </c>
      <c r="Q18" s="492">
        <v>0</v>
      </c>
      <c r="R18" s="492">
        <v>0</v>
      </c>
      <c r="S18" s="492">
        <v>0</v>
      </c>
      <c r="T18" s="492">
        <v>0</v>
      </c>
      <c r="U18" s="492">
        <v>0</v>
      </c>
      <c r="V18" s="492">
        <f>P18+Q18+R18+S18+T18+U18</f>
        <v>0</v>
      </c>
      <c r="W18" s="492">
        <v>0</v>
      </c>
      <c r="X18" s="492">
        <v>0</v>
      </c>
      <c r="Y18" s="492">
        <v>0</v>
      </c>
      <c r="Z18" s="492">
        <f t="shared" ref="Z18:Z19" si="10">W18+X18+Y18</f>
        <v>0</v>
      </c>
      <c r="AA18" s="492">
        <f t="shared" ref="AA18:AA19" si="11">V18+Z18</f>
        <v>0</v>
      </c>
      <c r="AB18" s="494">
        <f t="shared" ref="AB18:AB19" si="12">ROUND((V18+Z18)*33.8%,0)</f>
        <v>0</v>
      </c>
      <c r="AC18" s="494">
        <f>ROUND(V18*1%,0)</f>
        <v>0</v>
      </c>
      <c r="AD18" s="14">
        <v>0</v>
      </c>
      <c r="AE18" s="753">
        <f t="shared" si="6"/>
        <v>0</v>
      </c>
      <c r="AF18" s="858">
        <v>0</v>
      </c>
      <c r="AG18" s="491">
        <v>0</v>
      </c>
      <c r="AH18" s="491">
        <v>0</v>
      </c>
      <c r="AI18" s="491">
        <v>0</v>
      </c>
      <c r="AJ18" s="491">
        <v>0</v>
      </c>
      <c r="AK18" s="491">
        <v>0</v>
      </c>
      <c r="AL18" s="609">
        <f>SUM(AF18:AK18)</f>
        <v>0</v>
      </c>
      <c r="AM18" s="676">
        <f>I18+AE18</f>
        <v>8103348</v>
      </c>
      <c r="AN18" s="492">
        <f>J18+V18</f>
        <v>6011386</v>
      </c>
      <c r="AO18" s="492">
        <f t="shared" ref="AO18:AO19" si="13">K18+Z18</f>
        <v>0</v>
      </c>
      <c r="AP18" s="492">
        <f t="shared" ref="AP18:AR19" si="14">L18+AB18</f>
        <v>2031848</v>
      </c>
      <c r="AQ18" s="492">
        <f t="shared" si="14"/>
        <v>60114</v>
      </c>
      <c r="AR18" s="573">
        <f t="shared" si="14"/>
        <v>0</v>
      </c>
      <c r="AS18" s="609">
        <f>O18+AL18</f>
        <v>10</v>
      </c>
    </row>
    <row r="19" spans="1:45" ht="14.1" customHeight="1" x14ac:dyDescent="0.2">
      <c r="A19" s="499">
        <v>3</v>
      </c>
      <c r="B19" s="511">
        <v>2442</v>
      </c>
      <c r="C19" s="512">
        <v>600079066</v>
      </c>
      <c r="D19" s="511">
        <v>72742101</v>
      </c>
      <c r="E19" s="510" t="s">
        <v>522</v>
      </c>
      <c r="F19" s="499">
        <v>3111</v>
      </c>
      <c r="G19" s="513" t="s">
        <v>278</v>
      </c>
      <c r="H19" s="495" t="s">
        <v>263</v>
      </c>
      <c r="I19" s="610">
        <v>534949</v>
      </c>
      <c r="J19" s="490">
        <v>396847</v>
      </c>
      <c r="K19" s="490">
        <v>0</v>
      </c>
      <c r="L19" s="14">
        <v>134134</v>
      </c>
      <c r="M19" s="14">
        <v>3968</v>
      </c>
      <c r="N19" s="14">
        <v>0</v>
      </c>
      <c r="O19" s="664">
        <v>1</v>
      </c>
      <c r="P19" s="676">
        <f t="shared" si="2"/>
        <v>0</v>
      </c>
      <c r="Q19" s="492">
        <v>0</v>
      </c>
      <c r="R19" s="492">
        <v>0</v>
      </c>
      <c r="S19" s="492">
        <v>0</v>
      </c>
      <c r="T19" s="492">
        <v>0</v>
      </c>
      <c r="U19" s="492">
        <v>0</v>
      </c>
      <c r="V19" s="492">
        <f>P19+Q19+R19+S19+T19+U19</f>
        <v>0</v>
      </c>
      <c r="W19" s="492">
        <v>0</v>
      </c>
      <c r="X19" s="492">
        <v>0</v>
      </c>
      <c r="Y19" s="492">
        <v>0</v>
      </c>
      <c r="Z19" s="492">
        <f t="shared" si="10"/>
        <v>0</v>
      </c>
      <c r="AA19" s="492">
        <f t="shared" si="11"/>
        <v>0</v>
      </c>
      <c r="AB19" s="494">
        <f t="shared" si="12"/>
        <v>0</v>
      </c>
      <c r="AC19" s="494">
        <f>ROUND(V19*1%,0)</f>
        <v>0</v>
      </c>
      <c r="AD19" s="14">
        <v>0</v>
      </c>
      <c r="AE19" s="753">
        <f t="shared" si="6"/>
        <v>0</v>
      </c>
      <c r="AF19" s="858">
        <v>0</v>
      </c>
      <c r="AG19" s="491">
        <v>0</v>
      </c>
      <c r="AH19" s="491">
        <v>0</v>
      </c>
      <c r="AI19" s="491">
        <v>0</v>
      </c>
      <c r="AJ19" s="491">
        <v>0</v>
      </c>
      <c r="AK19" s="491">
        <v>0</v>
      </c>
      <c r="AL19" s="609">
        <f>SUM(AF19:AK19)</f>
        <v>0</v>
      </c>
      <c r="AM19" s="676">
        <f>I19+AE19</f>
        <v>534949</v>
      </c>
      <c r="AN19" s="492">
        <f>J19+V19</f>
        <v>396847</v>
      </c>
      <c r="AO19" s="492">
        <f t="shared" si="13"/>
        <v>0</v>
      </c>
      <c r="AP19" s="492">
        <f t="shared" si="14"/>
        <v>134134</v>
      </c>
      <c r="AQ19" s="492">
        <f t="shared" si="14"/>
        <v>3968</v>
      </c>
      <c r="AR19" s="573">
        <f t="shared" si="14"/>
        <v>0</v>
      </c>
      <c r="AS19" s="609">
        <f>O19+AL19</f>
        <v>1</v>
      </c>
    </row>
    <row r="20" spans="1:45" ht="14.1" customHeight="1" x14ac:dyDescent="0.2">
      <c r="A20" s="509">
        <v>3</v>
      </c>
      <c r="B20" s="507">
        <v>2442</v>
      </c>
      <c r="C20" s="508">
        <v>600079066</v>
      </c>
      <c r="D20" s="507">
        <v>72742101</v>
      </c>
      <c r="E20" s="505" t="s">
        <v>523</v>
      </c>
      <c r="F20" s="509"/>
      <c r="G20" s="505"/>
      <c r="H20" s="504"/>
      <c r="I20" s="612">
        <v>8638297</v>
      </c>
      <c r="J20" s="503">
        <v>6408233</v>
      </c>
      <c r="K20" s="503">
        <v>0</v>
      </c>
      <c r="L20" s="503">
        <v>2165982</v>
      </c>
      <c r="M20" s="503">
        <v>64082</v>
      </c>
      <c r="N20" s="503">
        <v>0</v>
      </c>
      <c r="O20" s="837">
        <v>11</v>
      </c>
      <c r="P20" s="612">
        <f t="shared" ref="P20:AS20" si="15">SUM(P18:P19)</f>
        <v>0</v>
      </c>
      <c r="Q20" s="502">
        <f t="shared" si="15"/>
        <v>0</v>
      </c>
      <c r="R20" s="502">
        <f t="shared" si="15"/>
        <v>0</v>
      </c>
      <c r="S20" s="502">
        <f t="shared" si="15"/>
        <v>0</v>
      </c>
      <c r="T20" s="502">
        <f t="shared" si="15"/>
        <v>0</v>
      </c>
      <c r="U20" s="502">
        <f t="shared" si="15"/>
        <v>0</v>
      </c>
      <c r="V20" s="502">
        <f t="shared" si="15"/>
        <v>0</v>
      </c>
      <c r="W20" s="502">
        <f t="shared" si="15"/>
        <v>0</v>
      </c>
      <c r="X20" s="502">
        <f t="shared" si="15"/>
        <v>0</v>
      </c>
      <c r="Y20" s="502">
        <f t="shared" si="15"/>
        <v>0</v>
      </c>
      <c r="Z20" s="502">
        <f t="shared" si="15"/>
        <v>0</v>
      </c>
      <c r="AA20" s="502">
        <f t="shared" si="15"/>
        <v>0</v>
      </c>
      <c r="AB20" s="502">
        <f t="shared" si="15"/>
        <v>0</v>
      </c>
      <c r="AC20" s="502">
        <f t="shared" si="15"/>
        <v>0</v>
      </c>
      <c r="AD20" s="502">
        <f t="shared" si="15"/>
        <v>0</v>
      </c>
      <c r="AE20" s="852">
        <f t="shared" si="15"/>
        <v>0</v>
      </c>
      <c r="AF20" s="857">
        <f t="shared" si="15"/>
        <v>0</v>
      </c>
      <c r="AG20" s="848">
        <f t="shared" si="15"/>
        <v>0</v>
      </c>
      <c r="AH20" s="848">
        <f t="shared" si="15"/>
        <v>0</v>
      </c>
      <c r="AI20" s="848">
        <f t="shared" si="15"/>
        <v>0</v>
      </c>
      <c r="AJ20" s="848">
        <f t="shared" si="15"/>
        <v>0</v>
      </c>
      <c r="AK20" s="848">
        <f t="shared" si="15"/>
        <v>0</v>
      </c>
      <c r="AL20" s="613">
        <f t="shared" si="15"/>
        <v>0</v>
      </c>
      <c r="AM20" s="612">
        <f t="shared" si="15"/>
        <v>8638297</v>
      </c>
      <c r="AN20" s="502">
        <f t="shared" si="15"/>
        <v>6408233</v>
      </c>
      <c r="AO20" s="549">
        <f t="shared" si="15"/>
        <v>0</v>
      </c>
      <c r="AP20" s="502">
        <f t="shared" si="15"/>
        <v>2165982</v>
      </c>
      <c r="AQ20" s="502">
        <f t="shared" si="15"/>
        <v>64082</v>
      </c>
      <c r="AR20" s="502">
        <f t="shared" si="15"/>
        <v>0</v>
      </c>
      <c r="AS20" s="613">
        <f t="shared" si="15"/>
        <v>11</v>
      </c>
    </row>
    <row r="21" spans="1:45" ht="14.1" customHeight="1" x14ac:dyDescent="0.2">
      <c r="A21" s="499">
        <v>4</v>
      </c>
      <c r="B21" s="511">
        <v>2437</v>
      </c>
      <c r="C21" s="512">
        <v>600079074</v>
      </c>
      <c r="D21" s="511">
        <v>72743221</v>
      </c>
      <c r="E21" s="510" t="s">
        <v>524</v>
      </c>
      <c r="F21" s="499">
        <v>3111</v>
      </c>
      <c r="G21" s="510" t="s">
        <v>277</v>
      </c>
      <c r="H21" s="495" t="s">
        <v>262</v>
      </c>
      <c r="I21" s="610">
        <v>13733741</v>
      </c>
      <c r="J21" s="14">
        <v>10188236</v>
      </c>
      <c r="K21" s="14">
        <v>0</v>
      </c>
      <c r="L21" s="14">
        <v>3443623</v>
      </c>
      <c r="M21" s="14">
        <v>101882</v>
      </c>
      <c r="N21" s="14">
        <v>0</v>
      </c>
      <c r="O21" s="121">
        <v>16.483799999999999</v>
      </c>
      <c r="P21" s="676">
        <f t="shared" si="2"/>
        <v>0</v>
      </c>
      <c r="Q21" s="492">
        <v>0</v>
      </c>
      <c r="R21" s="492">
        <v>0</v>
      </c>
      <c r="S21" s="492">
        <v>0</v>
      </c>
      <c r="T21" s="492">
        <v>0</v>
      </c>
      <c r="U21" s="492">
        <v>0</v>
      </c>
      <c r="V21" s="492">
        <f>P21+Q21+R21+S21+T21+U21</f>
        <v>0</v>
      </c>
      <c r="W21" s="492">
        <v>0</v>
      </c>
      <c r="X21" s="492">
        <v>0</v>
      </c>
      <c r="Y21" s="492">
        <v>0</v>
      </c>
      <c r="Z21" s="492">
        <f t="shared" ref="Z21:Z23" si="16">W21+X21+Y21</f>
        <v>0</v>
      </c>
      <c r="AA21" s="492">
        <f t="shared" ref="AA21:AA23" si="17">V21+Z21</f>
        <v>0</v>
      </c>
      <c r="AB21" s="494">
        <f t="shared" ref="AB21:AB23" si="18">ROUND((V21+Z21)*33.8%,0)</f>
        <v>0</v>
      </c>
      <c r="AC21" s="494">
        <f>ROUND(V21*1%,0)</f>
        <v>0</v>
      </c>
      <c r="AD21" s="14">
        <v>0</v>
      </c>
      <c r="AE21" s="753">
        <f t="shared" si="6"/>
        <v>0</v>
      </c>
      <c r="AF21" s="858">
        <v>0</v>
      </c>
      <c r="AG21" s="491">
        <v>0</v>
      </c>
      <c r="AH21" s="491">
        <v>0</v>
      </c>
      <c r="AI21" s="491">
        <v>0</v>
      </c>
      <c r="AJ21" s="491">
        <v>0</v>
      </c>
      <c r="AK21" s="491">
        <v>0</v>
      </c>
      <c r="AL21" s="609">
        <f>SUM(AF21:AK21)</f>
        <v>0</v>
      </c>
      <c r="AM21" s="676">
        <f>I21+AE21</f>
        <v>13733741</v>
      </c>
      <c r="AN21" s="492">
        <f>J21+V21</f>
        <v>10188236</v>
      </c>
      <c r="AO21" s="492">
        <f t="shared" ref="AO21:AO23" si="19">K21+Z21</f>
        <v>0</v>
      </c>
      <c r="AP21" s="492">
        <f t="shared" ref="AP21:AR23" si="20">L21+AB21</f>
        <v>3443623</v>
      </c>
      <c r="AQ21" s="492">
        <f t="shared" si="20"/>
        <v>101882</v>
      </c>
      <c r="AR21" s="573">
        <f t="shared" si="20"/>
        <v>0</v>
      </c>
      <c r="AS21" s="609">
        <f>O21+AL21</f>
        <v>16.483799999999999</v>
      </c>
    </row>
    <row r="22" spans="1:45" ht="14.1" customHeight="1" x14ac:dyDescent="0.2">
      <c r="A22" s="499">
        <v>4</v>
      </c>
      <c r="B22" s="511">
        <v>2437</v>
      </c>
      <c r="C22" s="512">
        <v>600079074</v>
      </c>
      <c r="D22" s="511">
        <v>72743221</v>
      </c>
      <c r="E22" s="510" t="s">
        <v>524</v>
      </c>
      <c r="F22" s="499">
        <v>3111</v>
      </c>
      <c r="G22" s="39" t="s">
        <v>279</v>
      </c>
      <c r="H22" s="495" t="s">
        <v>262</v>
      </c>
      <c r="I22" s="610">
        <v>1161405</v>
      </c>
      <c r="J22" s="14">
        <v>861576</v>
      </c>
      <c r="K22" s="14">
        <v>0</v>
      </c>
      <c r="L22" s="14">
        <v>291213</v>
      </c>
      <c r="M22" s="14">
        <v>8616</v>
      </c>
      <c r="N22" s="14">
        <v>0</v>
      </c>
      <c r="O22" s="121">
        <v>2</v>
      </c>
      <c r="P22" s="676">
        <f t="shared" si="2"/>
        <v>0</v>
      </c>
      <c r="Q22" s="492">
        <v>0</v>
      </c>
      <c r="R22" s="492">
        <v>0</v>
      </c>
      <c r="S22" s="492">
        <v>0</v>
      </c>
      <c r="T22" s="492">
        <v>0</v>
      </c>
      <c r="U22" s="492">
        <v>0</v>
      </c>
      <c r="V22" s="492">
        <f>P22+Q22+R22+S22+T22+U22</f>
        <v>0</v>
      </c>
      <c r="W22" s="492">
        <v>0</v>
      </c>
      <c r="X22" s="492">
        <v>0</v>
      </c>
      <c r="Y22" s="492">
        <v>0</v>
      </c>
      <c r="Z22" s="492">
        <f t="shared" si="16"/>
        <v>0</v>
      </c>
      <c r="AA22" s="492">
        <f t="shared" si="17"/>
        <v>0</v>
      </c>
      <c r="AB22" s="494">
        <f t="shared" si="18"/>
        <v>0</v>
      </c>
      <c r="AC22" s="494">
        <f>ROUND(V22*1%,0)</f>
        <v>0</v>
      </c>
      <c r="AD22" s="14">
        <v>0</v>
      </c>
      <c r="AE22" s="753">
        <f t="shared" si="6"/>
        <v>0</v>
      </c>
      <c r="AF22" s="858">
        <v>0</v>
      </c>
      <c r="AG22" s="491">
        <v>0</v>
      </c>
      <c r="AH22" s="491">
        <v>0</v>
      </c>
      <c r="AI22" s="491">
        <v>0</v>
      </c>
      <c r="AJ22" s="491">
        <v>0</v>
      </c>
      <c r="AK22" s="491">
        <v>0</v>
      </c>
      <c r="AL22" s="609">
        <f>SUM(AF22:AK22)</f>
        <v>0</v>
      </c>
      <c r="AM22" s="676">
        <f>I22+AE22</f>
        <v>1161405</v>
      </c>
      <c r="AN22" s="492">
        <f>J22+V22</f>
        <v>861576</v>
      </c>
      <c r="AO22" s="492">
        <f t="shared" si="19"/>
        <v>0</v>
      </c>
      <c r="AP22" s="492">
        <f t="shared" si="20"/>
        <v>291213</v>
      </c>
      <c r="AQ22" s="492">
        <f t="shared" si="20"/>
        <v>8616</v>
      </c>
      <c r="AR22" s="573">
        <f t="shared" si="20"/>
        <v>0</v>
      </c>
      <c r="AS22" s="609">
        <f>O22+AL22</f>
        <v>2</v>
      </c>
    </row>
    <row r="23" spans="1:45" ht="14.1" customHeight="1" x14ac:dyDescent="0.2">
      <c r="A23" s="499">
        <v>4</v>
      </c>
      <c r="B23" s="511">
        <v>2437</v>
      </c>
      <c r="C23" s="512">
        <v>600079074</v>
      </c>
      <c r="D23" s="511">
        <v>72743221</v>
      </c>
      <c r="E23" s="510" t="s">
        <v>524</v>
      </c>
      <c r="F23" s="499">
        <v>3111</v>
      </c>
      <c r="G23" s="513" t="s">
        <v>278</v>
      </c>
      <c r="H23" s="495" t="s">
        <v>263</v>
      </c>
      <c r="I23" s="610">
        <v>534949</v>
      </c>
      <c r="J23" s="490">
        <v>396847</v>
      </c>
      <c r="K23" s="490">
        <v>0</v>
      </c>
      <c r="L23" s="14">
        <v>134134</v>
      </c>
      <c r="M23" s="14">
        <v>3968</v>
      </c>
      <c r="N23" s="14">
        <v>0</v>
      </c>
      <c r="O23" s="664">
        <v>1</v>
      </c>
      <c r="P23" s="676">
        <f t="shared" si="2"/>
        <v>0</v>
      </c>
      <c r="Q23" s="492">
        <v>0</v>
      </c>
      <c r="R23" s="492">
        <v>0</v>
      </c>
      <c r="S23" s="492">
        <v>0</v>
      </c>
      <c r="T23" s="492">
        <v>0</v>
      </c>
      <c r="U23" s="492">
        <v>0</v>
      </c>
      <c r="V23" s="492">
        <f>P23+Q23+R23+S23+T23+U23</f>
        <v>0</v>
      </c>
      <c r="W23" s="492">
        <v>0</v>
      </c>
      <c r="X23" s="492">
        <v>0</v>
      </c>
      <c r="Y23" s="492">
        <v>0</v>
      </c>
      <c r="Z23" s="492">
        <f t="shared" si="16"/>
        <v>0</v>
      </c>
      <c r="AA23" s="492">
        <f t="shared" si="17"/>
        <v>0</v>
      </c>
      <c r="AB23" s="494">
        <f t="shared" si="18"/>
        <v>0</v>
      </c>
      <c r="AC23" s="494">
        <f>ROUND(V23*1%,0)</f>
        <v>0</v>
      </c>
      <c r="AD23" s="14">
        <v>0</v>
      </c>
      <c r="AE23" s="753">
        <f t="shared" si="6"/>
        <v>0</v>
      </c>
      <c r="AF23" s="858">
        <v>0</v>
      </c>
      <c r="AG23" s="491">
        <v>0</v>
      </c>
      <c r="AH23" s="491">
        <v>0</v>
      </c>
      <c r="AI23" s="491">
        <v>0</v>
      </c>
      <c r="AJ23" s="491">
        <v>0</v>
      </c>
      <c r="AK23" s="491">
        <v>0</v>
      </c>
      <c r="AL23" s="609">
        <f>SUM(AF23:AK23)</f>
        <v>0</v>
      </c>
      <c r="AM23" s="676">
        <f>I23+AE23</f>
        <v>534949</v>
      </c>
      <c r="AN23" s="492">
        <f>J23+V23</f>
        <v>396847</v>
      </c>
      <c r="AO23" s="492">
        <f t="shared" si="19"/>
        <v>0</v>
      </c>
      <c r="AP23" s="492">
        <f t="shared" si="20"/>
        <v>134134</v>
      </c>
      <c r="AQ23" s="492">
        <f t="shared" si="20"/>
        <v>3968</v>
      </c>
      <c r="AR23" s="573">
        <f t="shared" si="20"/>
        <v>0</v>
      </c>
      <c r="AS23" s="609">
        <f>O23+AL23</f>
        <v>1</v>
      </c>
    </row>
    <row r="24" spans="1:45" ht="14.1" customHeight="1" x14ac:dyDescent="0.2">
      <c r="A24" s="509">
        <v>4</v>
      </c>
      <c r="B24" s="507">
        <v>2437</v>
      </c>
      <c r="C24" s="508">
        <v>600079074</v>
      </c>
      <c r="D24" s="507">
        <v>72743221</v>
      </c>
      <c r="E24" s="505" t="s">
        <v>525</v>
      </c>
      <c r="F24" s="509"/>
      <c r="G24" s="505"/>
      <c r="H24" s="504"/>
      <c r="I24" s="612">
        <v>15430095</v>
      </c>
      <c r="J24" s="503">
        <v>11446659</v>
      </c>
      <c r="K24" s="503">
        <v>0</v>
      </c>
      <c r="L24" s="503">
        <v>3868970</v>
      </c>
      <c r="M24" s="503">
        <v>114466</v>
      </c>
      <c r="N24" s="503">
        <v>0</v>
      </c>
      <c r="O24" s="837">
        <v>19.483799999999999</v>
      </c>
      <c r="P24" s="612">
        <f t="shared" ref="P24:AS24" si="21">SUM(P21:P23)</f>
        <v>0</v>
      </c>
      <c r="Q24" s="502">
        <f t="shared" si="21"/>
        <v>0</v>
      </c>
      <c r="R24" s="502">
        <f t="shared" si="21"/>
        <v>0</v>
      </c>
      <c r="S24" s="502">
        <f t="shared" si="21"/>
        <v>0</v>
      </c>
      <c r="T24" s="502">
        <f t="shared" si="21"/>
        <v>0</v>
      </c>
      <c r="U24" s="502">
        <f t="shared" si="21"/>
        <v>0</v>
      </c>
      <c r="V24" s="502">
        <f t="shared" si="21"/>
        <v>0</v>
      </c>
      <c r="W24" s="502">
        <f t="shared" si="21"/>
        <v>0</v>
      </c>
      <c r="X24" s="502">
        <f t="shared" si="21"/>
        <v>0</v>
      </c>
      <c r="Y24" s="502">
        <f t="shared" si="21"/>
        <v>0</v>
      </c>
      <c r="Z24" s="502">
        <f t="shared" si="21"/>
        <v>0</v>
      </c>
      <c r="AA24" s="502">
        <f t="shared" si="21"/>
        <v>0</v>
      </c>
      <c r="AB24" s="502">
        <f t="shared" si="21"/>
        <v>0</v>
      </c>
      <c r="AC24" s="502">
        <f t="shared" si="21"/>
        <v>0</v>
      </c>
      <c r="AD24" s="502">
        <f t="shared" si="21"/>
        <v>0</v>
      </c>
      <c r="AE24" s="852">
        <f t="shared" si="21"/>
        <v>0</v>
      </c>
      <c r="AF24" s="857">
        <f t="shared" si="21"/>
        <v>0</v>
      </c>
      <c r="AG24" s="848">
        <f t="shared" si="21"/>
        <v>0</v>
      </c>
      <c r="AH24" s="848">
        <f t="shared" si="21"/>
        <v>0</v>
      </c>
      <c r="AI24" s="848">
        <f t="shared" si="21"/>
        <v>0</v>
      </c>
      <c r="AJ24" s="848">
        <f t="shared" si="21"/>
        <v>0</v>
      </c>
      <c r="AK24" s="848">
        <f t="shared" si="21"/>
        <v>0</v>
      </c>
      <c r="AL24" s="613">
        <f t="shared" si="21"/>
        <v>0</v>
      </c>
      <c r="AM24" s="612">
        <f t="shared" si="21"/>
        <v>15430095</v>
      </c>
      <c r="AN24" s="502">
        <f t="shared" si="21"/>
        <v>11446659</v>
      </c>
      <c r="AO24" s="549">
        <f t="shared" si="21"/>
        <v>0</v>
      </c>
      <c r="AP24" s="502">
        <f t="shared" si="21"/>
        <v>3868970</v>
      </c>
      <c r="AQ24" s="502">
        <f t="shared" si="21"/>
        <v>114466</v>
      </c>
      <c r="AR24" s="502">
        <f t="shared" si="21"/>
        <v>0</v>
      </c>
      <c r="AS24" s="613">
        <f t="shared" si="21"/>
        <v>19.483799999999999</v>
      </c>
    </row>
    <row r="25" spans="1:45" ht="14.1" customHeight="1" x14ac:dyDescent="0.2">
      <c r="A25" s="499">
        <v>5</v>
      </c>
      <c r="B25" s="511">
        <v>2411</v>
      </c>
      <c r="C25" s="512">
        <v>600079554</v>
      </c>
      <c r="D25" s="511">
        <v>72742666</v>
      </c>
      <c r="E25" s="510" t="s">
        <v>526</v>
      </c>
      <c r="F25" s="499">
        <v>3111</v>
      </c>
      <c r="G25" s="510" t="s">
        <v>277</v>
      </c>
      <c r="H25" s="495" t="s">
        <v>262</v>
      </c>
      <c r="I25" s="610">
        <v>7029052</v>
      </c>
      <c r="J25" s="14">
        <v>5209467</v>
      </c>
      <c r="K25" s="14">
        <v>5000</v>
      </c>
      <c r="L25" s="14">
        <v>1762490</v>
      </c>
      <c r="M25" s="14">
        <v>52095</v>
      </c>
      <c r="N25" s="14">
        <v>0</v>
      </c>
      <c r="O25" s="121">
        <v>8.4192999999999998</v>
      </c>
      <c r="P25" s="676">
        <f t="shared" si="2"/>
        <v>0</v>
      </c>
      <c r="Q25" s="492">
        <v>0</v>
      </c>
      <c r="R25" s="492">
        <v>0</v>
      </c>
      <c r="S25" s="492">
        <v>0</v>
      </c>
      <c r="T25" s="492">
        <v>0</v>
      </c>
      <c r="U25" s="492">
        <v>0</v>
      </c>
      <c r="V25" s="492">
        <f>P25+Q25+R25+S25+T25+U25</f>
        <v>0</v>
      </c>
      <c r="W25" s="492">
        <v>0</v>
      </c>
      <c r="X25" s="492">
        <v>0</v>
      </c>
      <c r="Y25" s="492">
        <v>0</v>
      </c>
      <c r="Z25" s="492">
        <f t="shared" ref="Z25:Z26" si="22">W25+X25+Y25</f>
        <v>0</v>
      </c>
      <c r="AA25" s="492">
        <f t="shared" ref="AA25:AA26" si="23">V25+Z25</f>
        <v>0</v>
      </c>
      <c r="AB25" s="494">
        <f t="shared" ref="AB25:AB26" si="24">ROUND((V25+Z25)*33.8%,0)</f>
        <v>0</v>
      </c>
      <c r="AC25" s="494">
        <f>ROUND(V25*1%,0)</f>
        <v>0</v>
      </c>
      <c r="AD25" s="14">
        <v>0</v>
      </c>
      <c r="AE25" s="753">
        <f t="shared" si="6"/>
        <v>0</v>
      </c>
      <c r="AF25" s="858">
        <v>0</v>
      </c>
      <c r="AG25" s="491">
        <v>0</v>
      </c>
      <c r="AH25" s="491">
        <v>0</v>
      </c>
      <c r="AI25" s="491">
        <v>0</v>
      </c>
      <c r="AJ25" s="491">
        <v>0</v>
      </c>
      <c r="AK25" s="491">
        <v>0</v>
      </c>
      <c r="AL25" s="609">
        <f>SUM(AF25:AK25)</f>
        <v>0</v>
      </c>
      <c r="AM25" s="676">
        <f>I25+AE25</f>
        <v>7029052</v>
      </c>
      <c r="AN25" s="492">
        <f>J25+V25</f>
        <v>5209467</v>
      </c>
      <c r="AO25" s="492">
        <f t="shared" ref="AO25:AO26" si="25">K25+Z25</f>
        <v>5000</v>
      </c>
      <c r="AP25" s="492">
        <f t="shared" ref="AP25:AR26" si="26">L25+AB25</f>
        <v>1762490</v>
      </c>
      <c r="AQ25" s="492">
        <f t="shared" si="26"/>
        <v>52095</v>
      </c>
      <c r="AR25" s="573">
        <f t="shared" si="26"/>
        <v>0</v>
      </c>
      <c r="AS25" s="609">
        <f>O25+AL25</f>
        <v>8.4192999999999998</v>
      </c>
    </row>
    <row r="26" spans="1:45" ht="14.1" customHeight="1" x14ac:dyDescent="0.2">
      <c r="A26" s="499">
        <v>5</v>
      </c>
      <c r="B26" s="511">
        <v>2411</v>
      </c>
      <c r="C26" s="512">
        <v>600079554</v>
      </c>
      <c r="D26" s="511">
        <v>72742666</v>
      </c>
      <c r="E26" s="510" t="s">
        <v>526</v>
      </c>
      <c r="F26" s="499">
        <v>3111</v>
      </c>
      <c r="G26" s="510" t="s">
        <v>278</v>
      </c>
      <c r="H26" s="495" t="s">
        <v>263</v>
      </c>
      <c r="I26" s="610">
        <v>0</v>
      </c>
      <c r="J26" s="490">
        <v>0</v>
      </c>
      <c r="K26" s="490">
        <v>0</v>
      </c>
      <c r="L26" s="14">
        <v>0</v>
      </c>
      <c r="M26" s="14">
        <v>0</v>
      </c>
      <c r="N26" s="14">
        <v>0</v>
      </c>
      <c r="O26" s="664">
        <v>0</v>
      </c>
      <c r="P26" s="676">
        <f t="shared" si="2"/>
        <v>0</v>
      </c>
      <c r="Q26" s="492">
        <v>0</v>
      </c>
      <c r="R26" s="492">
        <v>0</v>
      </c>
      <c r="S26" s="492">
        <v>0</v>
      </c>
      <c r="T26" s="492">
        <v>0</v>
      </c>
      <c r="U26" s="492">
        <v>0</v>
      </c>
      <c r="V26" s="492">
        <f>P26+Q26+R26+S26+T26+U26</f>
        <v>0</v>
      </c>
      <c r="W26" s="492">
        <v>0</v>
      </c>
      <c r="X26" s="492">
        <v>0</v>
      </c>
      <c r="Y26" s="492">
        <v>0</v>
      </c>
      <c r="Z26" s="492">
        <f t="shared" si="22"/>
        <v>0</v>
      </c>
      <c r="AA26" s="492">
        <f t="shared" si="23"/>
        <v>0</v>
      </c>
      <c r="AB26" s="494">
        <f t="shared" si="24"/>
        <v>0</v>
      </c>
      <c r="AC26" s="494">
        <f>ROUND(V26*1%,0)</f>
        <v>0</v>
      </c>
      <c r="AD26" s="14">
        <v>0</v>
      </c>
      <c r="AE26" s="753">
        <f t="shared" si="6"/>
        <v>0</v>
      </c>
      <c r="AF26" s="858">
        <v>0</v>
      </c>
      <c r="AG26" s="491">
        <v>0</v>
      </c>
      <c r="AH26" s="491">
        <v>0</v>
      </c>
      <c r="AI26" s="491">
        <v>0</v>
      </c>
      <c r="AJ26" s="491">
        <v>0</v>
      </c>
      <c r="AK26" s="491">
        <v>0</v>
      </c>
      <c r="AL26" s="609">
        <f>SUM(AF26:AK26)</f>
        <v>0</v>
      </c>
      <c r="AM26" s="676">
        <f>I26+AE26</f>
        <v>0</v>
      </c>
      <c r="AN26" s="492">
        <f>J26+V26</f>
        <v>0</v>
      </c>
      <c r="AO26" s="492">
        <f t="shared" si="25"/>
        <v>0</v>
      </c>
      <c r="AP26" s="492">
        <f t="shared" si="26"/>
        <v>0</v>
      </c>
      <c r="AQ26" s="492">
        <f t="shared" si="26"/>
        <v>0</v>
      </c>
      <c r="AR26" s="573">
        <f t="shared" si="26"/>
        <v>0</v>
      </c>
      <c r="AS26" s="609">
        <f>O26+AL26</f>
        <v>0</v>
      </c>
    </row>
    <row r="27" spans="1:45" ht="14.1" customHeight="1" x14ac:dyDescent="0.2">
      <c r="A27" s="509">
        <v>5</v>
      </c>
      <c r="B27" s="507">
        <v>2411</v>
      </c>
      <c r="C27" s="508">
        <v>600079554</v>
      </c>
      <c r="D27" s="507">
        <v>72742666</v>
      </c>
      <c r="E27" s="505" t="s">
        <v>527</v>
      </c>
      <c r="F27" s="509"/>
      <c r="G27" s="505"/>
      <c r="H27" s="504"/>
      <c r="I27" s="612">
        <v>7029052</v>
      </c>
      <c r="J27" s="503">
        <v>5209467</v>
      </c>
      <c r="K27" s="503">
        <v>5000</v>
      </c>
      <c r="L27" s="503">
        <v>1762490</v>
      </c>
      <c r="M27" s="503">
        <v>52095</v>
      </c>
      <c r="N27" s="503">
        <v>0</v>
      </c>
      <c r="O27" s="837">
        <v>8.4192999999999998</v>
      </c>
      <c r="P27" s="612">
        <f t="shared" ref="P27:AS27" si="27">SUM(P25:P26)</f>
        <v>0</v>
      </c>
      <c r="Q27" s="502">
        <f t="shared" si="27"/>
        <v>0</v>
      </c>
      <c r="R27" s="502">
        <f t="shared" si="27"/>
        <v>0</v>
      </c>
      <c r="S27" s="502">
        <f t="shared" si="27"/>
        <v>0</v>
      </c>
      <c r="T27" s="502">
        <f t="shared" si="27"/>
        <v>0</v>
      </c>
      <c r="U27" s="502">
        <f t="shared" si="27"/>
        <v>0</v>
      </c>
      <c r="V27" s="502">
        <f t="shared" si="27"/>
        <v>0</v>
      </c>
      <c r="W27" s="502">
        <f t="shared" si="27"/>
        <v>0</v>
      </c>
      <c r="X27" s="502">
        <f t="shared" si="27"/>
        <v>0</v>
      </c>
      <c r="Y27" s="502">
        <f t="shared" si="27"/>
        <v>0</v>
      </c>
      <c r="Z27" s="502">
        <f t="shared" si="27"/>
        <v>0</v>
      </c>
      <c r="AA27" s="502">
        <f t="shared" si="27"/>
        <v>0</v>
      </c>
      <c r="AB27" s="502">
        <f t="shared" si="27"/>
        <v>0</v>
      </c>
      <c r="AC27" s="502">
        <f t="shared" si="27"/>
        <v>0</v>
      </c>
      <c r="AD27" s="502">
        <f t="shared" si="27"/>
        <v>0</v>
      </c>
      <c r="AE27" s="852">
        <f t="shared" si="27"/>
        <v>0</v>
      </c>
      <c r="AF27" s="857">
        <f t="shared" si="27"/>
        <v>0</v>
      </c>
      <c r="AG27" s="848">
        <f t="shared" si="27"/>
        <v>0</v>
      </c>
      <c r="AH27" s="848">
        <f t="shared" si="27"/>
        <v>0</v>
      </c>
      <c r="AI27" s="848">
        <f t="shared" si="27"/>
        <v>0</v>
      </c>
      <c r="AJ27" s="848">
        <f t="shared" si="27"/>
        <v>0</v>
      </c>
      <c r="AK27" s="848">
        <f t="shared" si="27"/>
        <v>0</v>
      </c>
      <c r="AL27" s="613">
        <f t="shared" si="27"/>
        <v>0</v>
      </c>
      <c r="AM27" s="612">
        <f t="shared" si="27"/>
        <v>7029052</v>
      </c>
      <c r="AN27" s="502">
        <f t="shared" si="27"/>
        <v>5209467</v>
      </c>
      <c r="AO27" s="549">
        <f t="shared" si="27"/>
        <v>5000</v>
      </c>
      <c r="AP27" s="502">
        <f t="shared" si="27"/>
        <v>1762490</v>
      </c>
      <c r="AQ27" s="502">
        <f t="shared" si="27"/>
        <v>52095</v>
      </c>
      <c r="AR27" s="502">
        <f t="shared" si="27"/>
        <v>0</v>
      </c>
      <c r="AS27" s="613">
        <f t="shared" si="27"/>
        <v>8.4192999999999998</v>
      </c>
    </row>
    <row r="28" spans="1:45" ht="14.1" customHeight="1" x14ac:dyDescent="0.2">
      <c r="A28" s="499">
        <v>6</v>
      </c>
      <c r="B28" s="511">
        <v>2407</v>
      </c>
      <c r="C28" s="512">
        <v>600079520</v>
      </c>
      <c r="D28" s="511">
        <v>72741465</v>
      </c>
      <c r="E28" s="510" t="s">
        <v>528</v>
      </c>
      <c r="F28" s="499">
        <v>3111</v>
      </c>
      <c r="G28" s="510" t="s">
        <v>277</v>
      </c>
      <c r="H28" s="495" t="s">
        <v>262</v>
      </c>
      <c r="I28" s="610">
        <v>14180329</v>
      </c>
      <c r="J28" s="14">
        <v>10519532</v>
      </c>
      <c r="K28" s="14">
        <v>0</v>
      </c>
      <c r="L28" s="14">
        <v>3555602</v>
      </c>
      <c r="M28" s="14">
        <v>105195</v>
      </c>
      <c r="N28" s="14">
        <v>0</v>
      </c>
      <c r="O28" s="121">
        <v>17.451599999999999</v>
      </c>
      <c r="P28" s="676">
        <f t="shared" si="2"/>
        <v>0</v>
      </c>
      <c r="Q28" s="492">
        <v>0</v>
      </c>
      <c r="R28" s="492">
        <v>0</v>
      </c>
      <c r="S28" s="492">
        <v>0</v>
      </c>
      <c r="T28" s="492">
        <v>0</v>
      </c>
      <c r="U28" s="492">
        <v>0</v>
      </c>
      <c r="V28" s="492">
        <f>P28+Q28+R28+S28+T28+U28</f>
        <v>0</v>
      </c>
      <c r="W28" s="492">
        <v>0</v>
      </c>
      <c r="X28" s="492">
        <v>0</v>
      </c>
      <c r="Y28" s="492">
        <v>0</v>
      </c>
      <c r="Z28" s="492">
        <f t="shared" ref="Z28:Z29" si="28">W28+X28+Y28</f>
        <v>0</v>
      </c>
      <c r="AA28" s="492">
        <f t="shared" ref="AA28:AA29" si="29">V28+Z28</f>
        <v>0</v>
      </c>
      <c r="AB28" s="494">
        <f t="shared" ref="AB28:AB29" si="30">ROUND((V28+Z28)*33.8%,0)</f>
        <v>0</v>
      </c>
      <c r="AC28" s="494">
        <f>ROUND(V28*1%,0)</f>
        <v>0</v>
      </c>
      <c r="AD28" s="14">
        <v>0</v>
      </c>
      <c r="AE28" s="753">
        <f t="shared" si="6"/>
        <v>0</v>
      </c>
      <c r="AF28" s="858">
        <v>0</v>
      </c>
      <c r="AG28" s="491">
        <v>0</v>
      </c>
      <c r="AH28" s="491">
        <v>0</v>
      </c>
      <c r="AI28" s="491">
        <v>0</v>
      </c>
      <c r="AJ28" s="491">
        <v>0</v>
      </c>
      <c r="AK28" s="491">
        <v>0</v>
      </c>
      <c r="AL28" s="609">
        <f>SUM(AF28:AK28)</f>
        <v>0</v>
      </c>
      <c r="AM28" s="676">
        <f>I28+AE28</f>
        <v>14180329</v>
      </c>
      <c r="AN28" s="492">
        <f>J28+V28</f>
        <v>10519532</v>
      </c>
      <c r="AO28" s="492">
        <f t="shared" ref="AO28:AO29" si="31">K28+Z28</f>
        <v>0</v>
      </c>
      <c r="AP28" s="492">
        <f t="shared" ref="AP28:AR29" si="32">L28+AB28</f>
        <v>3555602</v>
      </c>
      <c r="AQ28" s="492">
        <f t="shared" si="32"/>
        <v>105195</v>
      </c>
      <c r="AR28" s="573">
        <f t="shared" si="32"/>
        <v>0</v>
      </c>
      <c r="AS28" s="609">
        <f>O28+AL28</f>
        <v>17.451599999999999</v>
      </c>
    </row>
    <row r="29" spans="1:45" ht="14.1" customHeight="1" x14ac:dyDescent="0.2">
      <c r="A29" s="499">
        <v>6</v>
      </c>
      <c r="B29" s="511">
        <v>2407</v>
      </c>
      <c r="C29" s="512">
        <v>600079520</v>
      </c>
      <c r="D29" s="511">
        <v>72741465</v>
      </c>
      <c r="E29" s="510" t="s">
        <v>528</v>
      </c>
      <c r="F29" s="499">
        <v>3111</v>
      </c>
      <c r="G29" s="513" t="s">
        <v>278</v>
      </c>
      <c r="H29" s="495" t="s">
        <v>263</v>
      </c>
      <c r="I29" s="610">
        <v>1604849</v>
      </c>
      <c r="J29" s="490">
        <v>1190541</v>
      </c>
      <c r="K29" s="490">
        <v>0</v>
      </c>
      <c r="L29" s="14">
        <v>402403</v>
      </c>
      <c r="M29" s="14">
        <v>11905</v>
      </c>
      <c r="N29" s="14">
        <v>0</v>
      </c>
      <c r="O29" s="664">
        <v>3</v>
      </c>
      <c r="P29" s="676">
        <f t="shared" si="2"/>
        <v>0</v>
      </c>
      <c r="Q29" s="492">
        <v>0</v>
      </c>
      <c r="R29" s="492">
        <v>0</v>
      </c>
      <c r="S29" s="492">
        <v>0</v>
      </c>
      <c r="T29" s="492">
        <v>0</v>
      </c>
      <c r="U29" s="492">
        <v>0</v>
      </c>
      <c r="V29" s="492">
        <f>P29+Q29+R29+S29+T29+U29</f>
        <v>0</v>
      </c>
      <c r="W29" s="492">
        <v>0</v>
      </c>
      <c r="X29" s="492">
        <v>0</v>
      </c>
      <c r="Y29" s="492">
        <v>0</v>
      </c>
      <c r="Z29" s="492">
        <f t="shared" si="28"/>
        <v>0</v>
      </c>
      <c r="AA29" s="492">
        <f t="shared" si="29"/>
        <v>0</v>
      </c>
      <c r="AB29" s="494">
        <f t="shared" si="30"/>
        <v>0</v>
      </c>
      <c r="AC29" s="494">
        <f>ROUND(V29*1%,0)</f>
        <v>0</v>
      </c>
      <c r="AD29" s="14">
        <v>0</v>
      </c>
      <c r="AE29" s="753">
        <f t="shared" si="6"/>
        <v>0</v>
      </c>
      <c r="AF29" s="858">
        <v>0</v>
      </c>
      <c r="AG29" s="491">
        <v>0</v>
      </c>
      <c r="AH29" s="491">
        <v>0</v>
      </c>
      <c r="AI29" s="491">
        <v>0</v>
      </c>
      <c r="AJ29" s="491">
        <v>0</v>
      </c>
      <c r="AK29" s="491">
        <v>0</v>
      </c>
      <c r="AL29" s="609">
        <f>SUM(AF29:AK29)</f>
        <v>0</v>
      </c>
      <c r="AM29" s="676">
        <f>I29+AE29</f>
        <v>1604849</v>
      </c>
      <c r="AN29" s="492">
        <f>J29+V29</f>
        <v>1190541</v>
      </c>
      <c r="AO29" s="492">
        <f t="shared" si="31"/>
        <v>0</v>
      </c>
      <c r="AP29" s="492">
        <f t="shared" si="32"/>
        <v>402403</v>
      </c>
      <c r="AQ29" s="492">
        <f t="shared" si="32"/>
        <v>11905</v>
      </c>
      <c r="AR29" s="573">
        <f t="shared" si="32"/>
        <v>0</v>
      </c>
      <c r="AS29" s="609">
        <f>O29+AL29</f>
        <v>3</v>
      </c>
    </row>
    <row r="30" spans="1:45" ht="14.1" customHeight="1" x14ac:dyDescent="0.2">
      <c r="A30" s="509">
        <v>6</v>
      </c>
      <c r="B30" s="507">
        <v>2407</v>
      </c>
      <c r="C30" s="508">
        <v>600079520</v>
      </c>
      <c r="D30" s="507">
        <v>72741465</v>
      </c>
      <c r="E30" s="505" t="s">
        <v>529</v>
      </c>
      <c r="F30" s="509"/>
      <c r="G30" s="505"/>
      <c r="H30" s="504"/>
      <c r="I30" s="612">
        <v>15785178</v>
      </c>
      <c r="J30" s="503">
        <v>11710073</v>
      </c>
      <c r="K30" s="503">
        <v>0</v>
      </c>
      <c r="L30" s="503">
        <v>3958005</v>
      </c>
      <c r="M30" s="503">
        <v>117100</v>
      </c>
      <c r="N30" s="503">
        <v>0</v>
      </c>
      <c r="O30" s="837">
        <v>20.451599999999999</v>
      </c>
      <c r="P30" s="612">
        <f t="shared" ref="P30:AS30" si="33">SUM(P28:P29)</f>
        <v>0</v>
      </c>
      <c r="Q30" s="502">
        <f t="shared" si="33"/>
        <v>0</v>
      </c>
      <c r="R30" s="502">
        <f t="shared" si="33"/>
        <v>0</v>
      </c>
      <c r="S30" s="502">
        <f t="shared" si="33"/>
        <v>0</v>
      </c>
      <c r="T30" s="502">
        <f t="shared" si="33"/>
        <v>0</v>
      </c>
      <c r="U30" s="502">
        <f t="shared" si="33"/>
        <v>0</v>
      </c>
      <c r="V30" s="502">
        <f t="shared" si="33"/>
        <v>0</v>
      </c>
      <c r="W30" s="502">
        <f t="shared" si="33"/>
        <v>0</v>
      </c>
      <c r="X30" s="502">
        <f t="shared" si="33"/>
        <v>0</v>
      </c>
      <c r="Y30" s="502">
        <f t="shared" si="33"/>
        <v>0</v>
      </c>
      <c r="Z30" s="502">
        <f t="shared" si="33"/>
        <v>0</v>
      </c>
      <c r="AA30" s="502">
        <f t="shared" si="33"/>
        <v>0</v>
      </c>
      <c r="AB30" s="502">
        <f t="shared" si="33"/>
        <v>0</v>
      </c>
      <c r="AC30" s="502">
        <f t="shared" si="33"/>
        <v>0</v>
      </c>
      <c r="AD30" s="502">
        <f t="shared" si="33"/>
        <v>0</v>
      </c>
      <c r="AE30" s="852">
        <f t="shared" si="33"/>
        <v>0</v>
      </c>
      <c r="AF30" s="857">
        <f t="shared" si="33"/>
        <v>0</v>
      </c>
      <c r="AG30" s="848">
        <f t="shared" si="33"/>
        <v>0</v>
      </c>
      <c r="AH30" s="848">
        <f t="shared" si="33"/>
        <v>0</v>
      </c>
      <c r="AI30" s="848">
        <f t="shared" si="33"/>
        <v>0</v>
      </c>
      <c r="AJ30" s="848">
        <f t="shared" si="33"/>
        <v>0</v>
      </c>
      <c r="AK30" s="848">
        <f t="shared" si="33"/>
        <v>0</v>
      </c>
      <c r="AL30" s="613">
        <f t="shared" si="33"/>
        <v>0</v>
      </c>
      <c r="AM30" s="612">
        <f t="shared" si="33"/>
        <v>15785178</v>
      </c>
      <c r="AN30" s="502">
        <f t="shared" si="33"/>
        <v>11710073</v>
      </c>
      <c r="AO30" s="549">
        <f t="shared" si="33"/>
        <v>0</v>
      </c>
      <c r="AP30" s="502">
        <f t="shared" si="33"/>
        <v>3958005</v>
      </c>
      <c r="AQ30" s="502">
        <f t="shared" si="33"/>
        <v>117100</v>
      </c>
      <c r="AR30" s="502">
        <f t="shared" si="33"/>
        <v>0</v>
      </c>
      <c r="AS30" s="613">
        <f t="shared" si="33"/>
        <v>20.451599999999999</v>
      </c>
    </row>
    <row r="31" spans="1:45" ht="14.1" customHeight="1" x14ac:dyDescent="0.2">
      <c r="A31" s="499">
        <v>7</v>
      </c>
      <c r="B31" s="511">
        <v>2422</v>
      </c>
      <c r="C31" s="512">
        <v>600079082</v>
      </c>
      <c r="D31" s="511">
        <v>72742585</v>
      </c>
      <c r="E31" s="510" t="s">
        <v>530</v>
      </c>
      <c r="F31" s="499">
        <v>3111</v>
      </c>
      <c r="G31" s="510" t="s">
        <v>277</v>
      </c>
      <c r="H31" s="495" t="s">
        <v>262</v>
      </c>
      <c r="I31" s="610">
        <v>8604414</v>
      </c>
      <c r="J31" s="14">
        <v>6358282</v>
      </c>
      <c r="K31" s="14">
        <v>25000</v>
      </c>
      <c r="L31" s="14">
        <v>2157549</v>
      </c>
      <c r="M31" s="14">
        <v>63583</v>
      </c>
      <c r="N31" s="14">
        <v>0</v>
      </c>
      <c r="O31" s="121">
        <v>10.8065</v>
      </c>
      <c r="P31" s="676">
        <v>-50000</v>
      </c>
      <c r="Q31" s="492">
        <v>0</v>
      </c>
      <c r="R31" s="492">
        <v>0</v>
      </c>
      <c r="S31" s="492">
        <v>0</v>
      </c>
      <c r="T31" s="492">
        <v>0</v>
      </c>
      <c r="U31" s="492">
        <v>0</v>
      </c>
      <c r="V31" s="492">
        <f>P31+Q31+R31+S31+T31+U31</f>
        <v>-50000</v>
      </c>
      <c r="W31" s="492">
        <v>50000</v>
      </c>
      <c r="X31" s="492">
        <v>0</v>
      </c>
      <c r="Y31" s="492">
        <v>0</v>
      </c>
      <c r="Z31" s="492">
        <f t="shared" ref="Z31:Z32" si="34">W31+X31+Y31</f>
        <v>50000</v>
      </c>
      <c r="AA31" s="492">
        <f t="shared" ref="AA31:AA32" si="35">V31+Z31</f>
        <v>0</v>
      </c>
      <c r="AB31" s="494">
        <f t="shared" ref="AB31:AB32" si="36">ROUND((V31+Z31)*33.8%,0)</f>
        <v>0</v>
      </c>
      <c r="AC31" s="494">
        <f>ROUND(V31*1%,0)</f>
        <v>-500</v>
      </c>
      <c r="AD31" s="14">
        <v>0</v>
      </c>
      <c r="AE31" s="753">
        <f t="shared" si="6"/>
        <v>-500</v>
      </c>
      <c r="AF31" s="858">
        <v>0</v>
      </c>
      <c r="AG31" s="491">
        <v>0</v>
      </c>
      <c r="AH31" s="491">
        <v>0</v>
      </c>
      <c r="AI31" s="491">
        <v>0</v>
      </c>
      <c r="AJ31" s="491">
        <v>0</v>
      </c>
      <c r="AK31" s="491">
        <v>0</v>
      </c>
      <c r="AL31" s="609">
        <f>SUM(AF31:AK31)</f>
        <v>0</v>
      </c>
      <c r="AM31" s="676">
        <f>I31+AE31</f>
        <v>8603914</v>
      </c>
      <c r="AN31" s="492">
        <f>J31+V31</f>
        <v>6308282</v>
      </c>
      <c r="AO31" s="492">
        <f t="shared" ref="AO31:AO32" si="37">K31+Z31</f>
        <v>75000</v>
      </c>
      <c r="AP31" s="492">
        <f t="shared" ref="AP31:AR32" si="38">L31+AB31</f>
        <v>2157549</v>
      </c>
      <c r="AQ31" s="492">
        <f t="shared" si="38"/>
        <v>63083</v>
      </c>
      <c r="AR31" s="573">
        <f t="shared" si="38"/>
        <v>0</v>
      </c>
      <c r="AS31" s="609">
        <f>O31+AL31</f>
        <v>10.8065</v>
      </c>
    </row>
    <row r="32" spans="1:45" ht="14.1" customHeight="1" x14ac:dyDescent="0.2">
      <c r="A32" s="499">
        <v>7</v>
      </c>
      <c r="B32" s="511">
        <v>2422</v>
      </c>
      <c r="C32" s="512">
        <v>600079082</v>
      </c>
      <c r="D32" s="511">
        <v>72742585</v>
      </c>
      <c r="E32" s="510" t="s">
        <v>530</v>
      </c>
      <c r="F32" s="499">
        <v>3111</v>
      </c>
      <c r="G32" s="513" t="s">
        <v>278</v>
      </c>
      <c r="H32" s="495" t="s">
        <v>263</v>
      </c>
      <c r="I32" s="610">
        <v>742994</v>
      </c>
      <c r="J32" s="490">
        <v>551182</v>
      </c>
      <c r="K32" s="490">
        <v>0</v>
      </c>
      <c r="L32" s="14">
        <v>186300</v>
      </c>
      <c r="M32" s="14">
        <v>5512</v>
      </c>
      <c r="N32" s="14">
        <v>0</v>
      </c>
      <c r="O32" s="664">
        <v>1.3900000000000001</v>
      </c>
      <c r="P32" s="676">
        <f t="shared" si="2"/>
        <v>0</v>
      </c>
      <c r="Q32" s="492">
        <v>0</v>
      </c>
      <c r="R32" s="492">
        <v>0</v>
      </c>
      <c r="S32" s="492">
        <v>0</v>
      </c>
      <c r="T32" s="492">
        <v>0</v>
      </c>
      <c r="U32" s="492">
        <v>0</v>
      </c>
      <c r="V32" s="492">
        <f>P32+Q32+R32+S32+T32+U32</f>
        <v>0</v>
      </c>
      <c r="W32" s="492">
        <v>0</v>
      </c>
      <c r="X32" s="492">
        <v>0</v>
      </c>
      <c r="Y32" s="492">
        <v>0</v>
      </c>
      <c r="Z32" s="492">
        <f t="shared" si="34"/>
        <v>0</v>
      </c>
      <c r="AA32" s="492">
        <f t="shared" si="35"/>
        <v>0</v>
      </c>
      <c r="AB32" s="494">
        <f t="shared" si="36"/>
        <v>0</v>
      </c>
      <c r="AC32" s="494">
        <f>ROUND(V32*1%,0)</f>
        <v>0</v>
      </c>
      <c r="AD32" s="14">
        <v>0</v>
      </c>
      <c r="AE32" s="753">
        <f t="shared" si="6"/>
        <v>0</v>
      </c>
      <c r="AF32" s="858">
        <v>0</v>
      </c>
      <c r="AG32" s="491">
        <v>0</v>
      </c>
      <c r="AH32" s="491">
        <v>0</v>
      </c>
      <c r="AI32" s="491">
        <v>0</v>
      </c>
      <c r="AJ32" s="491">
        <v>0</v>
      </c>
      <c r="AK32" s="491">
        <v>0</v>
      </c>
      <c r="AL32" s="609">
        <f>SUM(AF32:AK32)</f>
        <v>0</v>
      </c>
      <c r="AM32" s="676">
        <f>I32+AE32</f>
        <v>742994</v>
      </c>
      <c r="AN32" s="492">
        <f>J32+V32</f>
        <v>551182</v>
      </c>
      <c r="AO32" s="492">
        <f t="shared" si="37"/>
        <v>0</v>
      </c>
      <c r="AP32" s="492">
        <f t="shared" si="38"/>
        <v>186300</v>
      </c>
      <c r="AQ32" s="492">
        <f t="shared" si="38"/>
        <v>5512</v>
      </c>
      <c r="AR32" s="573">
        <f t="shared" si="38"/>
        <v>0</v>
      </c>
      <c r="AS32" s="609">
        <f>O32+AL32</f>
        <v>1.3900000000000001</v>
      </c>
    </row>
    <row r="33" spans="1:45" ht="14.1" customHeight="1" x14ac:dyDescent="0.2">
      <c r="A33" s="509">
        <v>7</v>
      </c>
      <c r="B33" s="507">
        <v>2422</v>
      </c>
      <c r="C33" s="508">
        <v>600079082</v>
      </c>
      <c r="D33" s="507">
        <v>72742585</v>
      </c>
      <c r="E33" s="505" t="s">
        <v>531</v>
      </c>
      <c r="F33" s="509"/>
      <c r="G33" s="505"/>
      <c r="H33" s="504"/>
      <c r="I33" s="612">
        <v>9347408</v>
      </c>
      <c r="J33" s="503">
        <v>6909464</v>
      </c>
      <c r="K33" s="503">
        <v>25000</v>
      </c>
      <c r="L33" s="503">
        <v>2343849</v>
      </c>
      <c r="M33" s="503">
        <v>69095</v>
      </c>
      <c r="N33" s="503">
        <v>0</v>
      </c>
      <c r="O33" s="837">
        <v>12.1965</v>
      </c>
      <c r="P33" s="612">
        <f t="shared" ref="P33:AS33" si="39">SUM(P31:P32)</f>
        <v>-50000</v>
      </c>
      <c r="Q33" s="502">
        <f t="shared" si="39"/>
        <v>0</v>
      </c>
      <c r="R33" s="502">
        <f t="shared" si="39"/>
        <v>0</v>
      </c>
      <c r="S33" s="502">
        <f t="shared" si="39"/>
        <v>0</v>
      </c>
      <c r="T33" s="502">
        <f t="shared" si="39"/>
        <v>0</v>
      </c>
      <c r="U33" s="502">
        <f t="shared" si="39"/>
        <v>0</v>
      </c>
      <c r="V33" s="502">
        <f t="shared" si="39"/>
        <v>-50000</v>
      </c>
      <c r="W33" s="502">
        <f t="shared" si="39"/>
        <v>50000</v>
      </c>
      <c r="X33" s="502">
        <f t="shared" si="39"/>
        <v>0</v>
      </c>
      <c r="Y33" s="502">
        <f t="shared" si="39"/>
        <v>0</v>
      </c>
      <c r="Z33" s="502">
        <f t="shared" si="39"/>
        <v>50000</v>
      </c>
      <c r="AA33" s="502">
        <f t="shared" si="39"/>
        <v>0</v>
      </c>
      <c r="AB33" s="502">
        <f t="shared" si="39"/>
        <v>0</v>
      </c>
      <c r="AC33" s="502">
        <f t="shared" si="39"/>
        <v>-500</v>
      </c>
      <c r="AD33" s="502">
        <f t="shared" si="39"/>
        <v>0</v>
      </c>
      <c r="AE33" s="852">
        <f t="shared" si="39"/>
        <v>-500</v>
      </c>
      <c r="AF33" s="857">
        <f t="shared" si="39"/>
        <v>0</v>
      </c>
      <c r="AG33" s="848">
        <f t="shared" si="39"/>
        <v>0</v>
      </c>
      <c r="AH33" s="848">
        <f t="shared" si="39"/>
        <v>0</v>
      </c>
      <c r="AI33" s="848">
        <f t="shared" si="39"/>
        <v>0</v>
      </c>
      <c r="AJ33" s="848">
        <f t="shared" si="39"/>
        <v>0</v>
      </c>
      <c r="AK33" s="848">
        <f t="shared" si="39"/>
        <v>0</v>
      </c>
      <c r="AL33" s="613">
        <f t="shared" si="39"/>
        <v>0</v>
      </c>
      <c r="AM33" s="612">
        <f t="shared" si="39"/>
        <v>9346908</v>
      </c>
      <c r="AN33" s="502">
        <f t="shared" si="39"/>
        <v>6859464</v>
      </c>
      <c r="AO33" s="549">
        <f t="shared" si="39"/>
        <v>75000</v>
      </c>
      <c r="AP33" s="502">
        <f t="shared" si="39"/>
        <v>2343849</v>
      </c>
      <c r="AQ33" s="502">
        <f t="shared" si="39"/>
        <v>68595</v>
      </c>
      <c r="AR33" s="502">
        <f t="shared" si="39"/>
        <v>0</v>
      </c>
      <c r="AS33" s="613">
        <f t="shared" si="39"/>
        <v>12.1965</v>
      </c>
    </row>
    <row r="34" spans="1:45" ht="14.1" customHeight="1" x14ac:dyDescent="0.2">
      <c r="A34" s="499">
        <v>8</v>
      </c>
      <c r="B34" s="511">
        <v>2427</v>
      </c>
      <c r="C34" s="512">
        <v>600079091</v>
      </c>
      <c r="D34" s="511">
        <v>72741627</v>
      </c>
      <c r="E34" s="510" t="s">
        <v>532</v>
      </c>
      <c r="F34" s="499">
        <v>3111</v>
      </c>
      <c r="G34" s="510" t="s">
        <v>277</v>
      </c>
      <c r="H34" s="495" t="s">
        <v>262</v>
      </c>
      <c r="I34" s="610">
        <v>4945987</v>
      </c>
      <c r="J34" s="14">
        <v>3669130</v>
      </c>
      <c r="K34" s="14">
        <v>0</v>
      </c>
      <c r="L34" s="14">
        <v>1240166</v>
      </c>
      <c r="M34" s="14">
        <v>36691</v>
      </c>
      <c r="N34" s="14">
        <v>0</v>
      </c>
      <c r="O34" s="121">
        <v>6.2417999999999996</v>
      </c>
      <c r="P34" s="676">
        <f t="shared" si="2"/>
        <v>0</v>
      </c>
      <c r="Q34" s="492">
        <v>0</v>
      </c>
      <c r="R34" s="492">
        <v>0</v>
      </c>
      <c r="S34" s="492">
        <v>0</v>
      </c>
      <c r="T34" s="492">
        <v>0</v>
      </c>
      <c r="U34" s="492">
        <v>0</v>
      </c>
      <c r="V34" s="492">
        <f>P34+Q34+R34+S34+T34+U34</f>
        <v>0</v>
      </c>
      <c r="W34" s="492">
        <v>0</v>
      </c>
      <c r="X34" s="492">
        <v>0</v>
      </c>
      <c r="Y34" s="492">
        <v>0</v>
      </c>
      <c r="Z34" s="492">
        <f t="shared" ref="Z34:Z35" si="40">W34+X34+Y34</f>
        <v>0</v>
      </c>
      <c r="AA34" s="492">
        <f t="shared" ref="AA34:AA35" si="41">V34+Z34</f>
        <v>0</v>
      </c>
      <c r="AB34" s="494">
        <f t="shared" ref="AB34:AB35" si="42">ROUND((V34+Z34)*33.8%,0)</f>
        <v>0</v>
      </c>
      <c r="AC34" s="494">
        <f>ROUND(V34*1%,0)</f>
        <v>0</v>
      </c>
      <c r="AD34" s="14">
        <v>0</v>
      </c>
      <c r="AE34" s="753">
        <f t="shared" si="6"/>
        <v>0</v>
      </c>
      <c r="AF34" s="858">
        <v>0</v>
      </c>
      <c r="AG34" s="491">
        <v>0</v>
      </c>
      <c r="AH34" s="491">
        <v>0</v>
      </c>
      <c r="AI34" s="491">
        <v>0</v>
      </c>
      <c r="AJ34" s="491">
        <v>0</v>
      </c>
      <c r="AK34" s="491">
        <v>0</v>
      </c>
      <c r="AL34" s="609">
        <f>SUM(AF34:AK34)</f>
        <v>0</v>
      </c>
      <c r="AM34" s="676">
        <f>I34+AE34</f>
        <v>4945987</v>
      </c>
      <c r="AN34" s="492">
        <f>J34+V34</f>
        <v>3669130</v>
      </c>
      <c r="AO34" s="492">
        <f t="shared" ref="AO34:AO35" si="43">K34+Z34</f>
        <v>0</v>
      </c>
      <c r="AP34" s="492">
        <f t="shared" ref="AP34:AR35" si="44">L34+AB34</f>
        <v>1240166</v>
      </c>
      <c r="AQ34" s="492">
        <f t="shared" si="44"/>
        <v>36691</v>
      </c>
      <c r="AR34" s="573">
        <f t="shared" si="44"/>
        <v>0</v>
      </c>
      <c r="AS34" s="609">
        <f>O34+AL34</f>
        <v>6.2417999999999996</v>
      </c>
    </row>
    <row r="35" spans="1:45" ht="14.1" customHeight="1" x14ac:dyDescent="0.2">
      <c r="A35" s="499">
        <v>8</v>
      </c>
      <c r="B35" s="511">
        <v>2427</v>
      </c>
      <c r="C35" s="512">
        <v>600079091</v>
      </c>
      <c r="D35" s="511">
        <v>72741627</v>
      </c>
      <c r="E35" s="510" t="s">
        <v>532</v>
      </c>
      <c r="F35" s="499">
        <v>3111</v>
      </c>
      <c r="G35" s="513" t="s">
        <v>278</v>
      </c>
      <c r="H35" s="495" t="s">
        <v>263</v>
      </c>
      <c r="I35" s="610">
        <v>802427</v>
      </c>
      <c r="J35" s="490">
        <v>595272</v>
      </c>
      <c r="K35" s="490">
        <v>0</v>
      </c>
      <c r="L35" s="14">
        <v>201202</v>
      </c>
      <c r="M35" s="14">
        <v>5953</v>
      </c>
      <c r="N35" s="14">
        <v>0</v>
      </c>
      <c r="O35" s="664">
        <v>1.5</v>
      </c>
      <c r="P35" s="676">
        <f t="shared" si="2"/>
        <v>0</v>
      </c>
      <c r="Q35" s="492">
        <v>0</v>
      </c>
      <c r="R35" s="492">
        <v>0</v>
      </c>
      <c r="S35" s="492">
        <v>0</v>
      </c>
      <c r="T35" s="492">
        <v>0</v>
      </c>
      <c r="U35" s="492">
        <v>0</v>
      </c>
      <c r="V35" s="492">
        <f>P35+Q35+R35+S35+T35+U35</f>
        <v>0</v>
      </c>
      <c r="W35" s="492">
        <v>0</v>
      </c>
      <c r="X35" s="492">
        <v>0</v>
      </c>
      <c r="Y35" s="492">
        <v>0</v>
      </c>
      <c r="Z35" s="492">
        <f t="shared" si="40"/>
        <v>0</v>
      </c>
      <c r="AA35" s="492">
        <f t="shared" si="41"/>
        <v>0</v>
      </c>
      <c r="AB35" s="494">
        <f t="shared" si="42"/>
        <v>0</v>
      </c>
      <c r="AC35" s="494">
        <f>ROUND(V35*1%,0)</f>
        <v>0</v>
      </c>
      <c r="AD35" s="14">
        <v>0</v>
      </c>
      <c r="AE35" s="753">
        <f t="shared" si="6"/>
        <v>0</v>
      </c>
      <c r="AF35" s="858">
        <v>0</v>
      </c>
      <c r="AG35" s="491">
        <v>0</v>
      </c>
      <c r="AH35" s="491">
        <v>0</v>
      </c>
      <c r="AI35" s="491">
        <v>0</v>
      </c>
      <c r="AJ35" s="491">
        <v>0</v>
      </c>
      <c r="AK35" s="491">
        <v>0</v>
      </c>
      <c r="AL35" s="609">
        <f>SUM(AF35:AK35)</f>
        <v>0</v>
      </c>
      <c r="AM35" s="676">
        <f>I35+AE35</f>
        <v>802427</v>
      </c>
      <c r="AN35" s="492">
        <f>J35+V35</f>
        <v>595272</v>
      </c>
      <c r="AO35" s="492">
        <f t="shared" si="43"/>
        <v>0</v>
      </c>
      <c r="AP35" s="492">
        <f t="shared" si="44"/>
        <v>201202</v>
      </c>
      <c r="AQ35" s="492">
        <f t="shared" si="44"/>
        <v>5953</v>
      </c>
      <c r="AR35" s="573">
        <f t="shared" si="44"/>
        <v>0</v>
      </c>
      <c r="AS35" s="609">
        <f>O35+AL35</f>
        <v>1.5</v>
      </c>
    </row>
    <row r="36" spans="1:45" ht="14.1" customHeight="1" x14ac:dyDescent="0.2">
      <c r="A36" s="509">
        <v>8</v>
      </c>
      <c r="B36" s="507">
        <v>2427</v>
      </c>
      <c r="C36" s="508">
        <v>600079091</v>
      </c>
      <c r="D36" s="507">
        <v>72741627</v>
      </c>
      <c r="E36" s="505" t="s">
        <v>533</v>
      </c>
      <c r="F36" s="509"/>
      <c r="G36" s="505"/>
      <c r="H36" s="504"/>
      <c r="I36" s="612">
        <v>5748414</v>
      </c>
      <c r="J36" s="503">
        <v>4264402</v>
      </c>
      <c r="K36" s="503">
        <v>0</v>
      </c>
      <c r="L36" s="503">
        <v>1441368</v>
      </c>
      <c r="M36" s="503">
        <v>42644</v>
      </c>
      <c r="N36" s="503">
        <v>0</v>
      </c>
      <c r="O36" s="837">
        <v>7.7417999999999996</v>
      </c>
      <c r="P36" s="612">
        <f t="shared" ref="P36:AS36" si="45">SUM(P34:P35)</f>
        <v>0</v>
      </c>
      <c r="Q36" s="502">
        <f t="shared" si="45"/>
        <v>0</v>
      </c>
      <c r="R36" s="502">
        <f t="shared" si="45"/>
        <v>0</v>
      </c>
      <c r="S36" s="502">
        <f t="shared" si="45"/>
        <v>0</v>
      </c>
      <c r="T36" s="502">
        <f t="shared" si="45"/>
        <v>0</v>
      </c>
      <c r="U36" s="502">
        <f t="shared" si="45"/>
        <v>0</v>
      </c>
      <c r="V36" s="502">
        <f t="shared" si="45"/>
        <v>0</v>
      </c>
      <c r="W36" s="502">
        <f t="shared" si="45"/>
        <v>0</v>
      </c>
      <c r="X36" s="502">
        <f t="shared" si="45"/>
        <v>0</v>
      </c>
      <c r="Y36" s="502">
        <f t="shared" si="45"/>
        <v>0</v>
      </c>
      <c r="Z36" s="502">
        <f t="shared" si="45"/>
        <v>0</v>
      </c>
      <c r="AA36" s="502">
        <f t="shared" si="45"/>
        <v>0</v>
      </c>
      <c r="AB36" s="502">
        <f t="shared" si="45"/>
        <v>0</v>
      </c>
      <c r="AC36" s="502">
        <f t="shared" si="45"/>
        <v>0</v>
      </c>
      <c r="AD36" s="502">
        <f t="shared" si="45"/>
        <v>0</v>
      </c>
      <c r="AE36" s="852">
        <f t="shared" si="45"/>
        <v>0</v>
      </c>
      <c r="AF36" s="857">
        <f t="shared" si="45"/>
        <v>0</v>
      </c>
      <c r="AG36" s="848">
        <f t="shared" si="45"/>
        <v>0</v>
      </c>
      <c r="AH36" s="848">
        <f t="shared" si="45"/>
        <v>0</v>
      </c>
      <c r="AI36" s="848">
        <f t="shared" si="45"/>
        <v>0</v>
      </c>
      <c r="AJ36" s="848">
        <f t="shared" si="45"/>
        <v>0</v>
      </c>
      <c r="AK36" s="848">
        <f t="shared" si="45"/>
        <v>0</v>
      </c>
      <c r="AL36" s="613">
        <f t="shared" si="45"/>
        <v>0</v>
      </c>
      <c r="AM36" s="612">
        <f t="shared" si="45"/>
        <v>5748414</v>
      </c>
      <c r="AN36" s="502">
        <f t="shared" si="45"/>
        <v>4264402</v>
      </c>
      <c r="AO36" s="549">
        <f t="shared" si="45"/>
        <v>0</v>
      </c>
      <c r="AP36" s="502">
        <f t="shared" si="45"/>
        <v>1441368</v>
      </c>
      <c r="AQ36" s="502">
        <f t="shared" si="45"/>
        <v>42644</v>
      </c>
      <c r="AR36" s="502">
        <f t="shared" si="45"/>
        <v>0</v>
      </c>
      <c r="AS36" s="613">
        <f t="shared" si="45"/>
        <v>7.7417999999999996</v>
      </c>
    </row>
    <row r="37" spans="1:45" ht="14.1" customHeight="1" x14ac:dyDescent="0.2">
      <c r="A37" s="499">
        <v>9</v>
      </c>
      <c r="B37" s="511">
        <v>2327</v>
      </c>
      <c r="C37" s="512">
        <v>691002606</v>
      </c>
      <c r="D37" s="511">
        <v>72076950</v>
      </c>
      <c r="E37" s="510" t="s">
        <v>534</v>
      </c>
      <c r="F37" s="499">
        <v>3111</v>
      </c>
      <c r="G37" s="510" t="s">
        <v>277</v>
      </c>
      <c r="H37" s="495" t="s">
        <v>262</v>
      </c>
      <c r="I37" s="610">
        <v>9112551</v>
      </c>
      <c r="J37" s="14">
        <v>6760052</v>
      </c>
      <c r="K37" s="14">
        <v>0</v>
      </c>
      <c r="L37" s="14">
        <v>2284898</v>
      </c>
      <c r="M37" s="14">
        <v>67601</v>
      </c>
      <c r="N37" s="14">
        <v>0</v>
      </c>
      <c r="O37" s="121">
        <v>11.2096</v>
      </c>
      <c r="P37" s="676">
        <f t="shared" si="2"/>
        <v>0</v>
      </c>
      <c r="Q37" s="492">
        <v>0</v>
      </c>
      <c r="R37" s="492">
        <v>0</v>
      </c>
      <c r="S37" s="492">
        <v>0</v>
      </c>
      <c r="T37" s="492">
        <v>0</v>
      </c>
      <c r="U37" s="492">
        <v>0</v>
      </c>
      <c r="V37" s="492">
        <f>P37+Q37+R37+S37+T37+U37</f>
        <v>0</v>
      </c>
      <c r="W37" s="492">
        <v>0</v>
      </c>
      <c r="X37" s="492">
        <v>0</v>
      </c>
      <c r="Y37" s="492">
        <v>0</v>
      </c>
      <c r="Z37" s="492">
        <f t="shared" ref="Z37:Z38" si="46">W37+X37+Y37</f>
        <v>0</v>
      </c>
      <c r="AA37" s="492">
        <f t="shared" ref="AA37:AA38" si="47">V37+Z37</f>
        <v>0</v>
      </c>
      <c r="AB37" s="494">
        <f t="shared" ref="AB37:AB38" si="48">ROUND((V37+Z37)*33.8%,0)</f>
        <v>0</v>
      </c>
      <c r="AC37" s="494">
        <f>ROUND(V37*1%,0)</f>
        <v>0</v>
      </c>
      <c r="AD37" s="14">
        <v>0</v>
      </c>
      <c r="AE37" s="753">
        <f t="shared" si="6"/>
        <v>0</v>
      </c>
      <c r="AF37" s="858">
        <v>0</v>
      </c>
      <c r="AG37" s="491">
        <v>0</v>
      </c>
      <c r="AH37" s="491">
        <v>0</v>
      </c>
      <c r="AI37" s="491">
        <v>0</v>
      </c>
      <c r="AJ37" s="491">
        <v>0</v>
      </c>
      <c r="AK37" s="491">
        <v>0</v>
      </c>
      <c r="AL37" s="609">
        <f>SUM(AF37:AK37)</f>
        <v>0</v>
      </c>
      <c r="AM37" s="676">
        <f>I37+AE37</f>
        <v>9112551</v>
      </c>
      <c r="AN37" s="492">
        <f>J37+V37</f>
        <v>6760052</v>
      </c>
      <c r="AO37" s="492">
        <f t="shared" ref="AO37:AO38" si="49">K37+Z37</f>
        <v>0</v>
      </c>
      <c r="AP37" s="492">
        <f t="shared" ref="AP37:AR38" si="50">L37+AB37</f>
        <v>2284898</v>
      </c>
      <c r="AQ37" s="492">
        <f t="shared" si="50"/>
        <v>67601</v>
      </c>
      <c r="AR37" s="573">
        <f t="shared" si="50"/>
        <v>0</v>
      </c>
      <c r="AS37" s="609">
        <f>O37+AL37</f>
        <v>11.2096</v>
      </c>
    </row>
    <row r="38" spans="1:45" ht="14.1" customHeight="1" x14ac:dyDescent="0.2">
      <c r="A38" s="499">
        <v>9</v>
      </c>
      <c r="B38" s="511">
        <v>2327</v>
      </c>
      <c r="C38" s="512">
        <v>691002606</v>
      </c>
      <c r="D38" s="511">
        <v>72076950</v>
      </c>
      <c r="E38" s="510" t="s">
        <v>534</v>
      </c>
      <c r="F38" s="499">
        <v>3111</v>
      </c>
      <c r="G38" s="513" t="s">
        <v>278</v>
      </c>
      <c r="H38" s="495" t="s">
        <v>263</v>
      </c>
      <c r="I38" s="610">
        <v>267475</v>
      </c>
      <c r="J38" s="490">
        <v>198424</v>
      </c>
      <c r="K38" s="490">
        <v>0</v>
      </c>
      <c r="L38" s="14">
        <v>67067</v>
      </c>
      <c r="M38" s="14">
        <v>1984</v>
      </c>
      <c r="N38" s="14">
        <v>0</v>
      </c>
      <c r="O38" s="664">
        <v>0.5</v>
      </c>
      <c r="P38" s="676">
        <f t="shared" si="2"/>
        <v>0</v>
      </c>
      <c r="Q38" s="492">
        <v>0</v>
      </c>
      <c r="R38" s="492">
        <v>0</v>
      </c>
      <c r="S38" s="492">
        <v>0</v>
      </c>
      <c r="T38" s="492">
        <v>0</v>
      </c>
      <c r="U38" s="492">
        <v>0</v>
      </c>
      <c r="V38" s="492">
        <f>P38+Q38+R38+S38+T38+U38</f>
        <v>0</v>
      </c>
      <c r="W38" s="492">
        <v>0</v>
      </c>
      <c r="X38" s="492">
        <v>0</v>
      </c>
      <c r="Y38" s="492">
        <v>0</v>
      </c>
      <c r="Z38" s="492">
        <f t="shared" si="46"/>
        <v>0</v>
      </c>
      <c r="AA38" s="492">
        <f t="shared" si="47"/>
        <v>0</v>
      </c>
      <c r="AB38" s="494">
        <f t="shared" si="48"/>
        <v>0</v>
      </c>
      <c r="AC38" s="494">
        <f>ROUND(V38*1%,0)</f>
        <v>0</v>
      </c>
      <c r="AD38" s="14">
        <v>0</v>
      </c>
      <c r="AE38" s="753">
        <f t="shared" si="6"/>
        <v>0</v>
      </c>
      <c r="AF38" s="858">
        <v>0</v>
      </c>
      <c r="AG38" s="491">
        <v>0</v>
      </c>
      <c r="AH38" s="491">
        <v>0</v>
      </c>
      <c r="AI38" s="491">
        <v>0</v>
      </c>
      <c r="AJ38" s="491">
        <v>0</v>
      </c>
      <c r="AK38" s="491">
        <v>0</v>
      </c>
      <c r="AL38" s="609">
        <f>SUM(AF38:AK38)</f>
        <v>0</v>
      </c>
      <c r="AM38" s="676">
        <f>I38+AE38</f>
        <v>267475</v>
      </c>
      <c r="AN38" s="492">
        <f>J38+V38</f>
        <v>198424</v>
      </c>
      <c r="AO38" s="492">
        <f t="shared" si="49"/>
        <v>0</v>
      </c>
      <c r="AP38" s="492">
        <f t="shared" si="50"/>
        <v>67067</v>
      </c>
      <c r="AQ38" s="492">
        <f t="shared" si="50"/>
        <v>1984</v>
      </c>
      <c r="AR38" s="573">
        <f t="shared" si="50"/>
        <v>0</v>
      </c>
      <c r="AS38" s="609">
        <f>O38+AL38</f>
        <v>0.5</v>
      </c>
    </row>
    <row r="39" spans="1:45" ht="14.1" customHeight="1" x14ac:dyDescent="0.2">
      <c r="A39" s="509">
        <v>9</v>
      </c>
      <c r="B39" s="507">
        <v>2327</v>
      </c>
      <c r="C39" s="508">
        <v>691002606</v>
      </c>
      <c r="D39" s="507">
        <v>72076950</v>
      </c>
      <c r="E39" s="505" t="s">
        <v>535</v>
      </c>
      <c r="F39" s="509"/>
      <c r="G39" s="505"/>
      <c r="H39" s="504"/>
      <c r="I39" s="612">
        <v>9380026</v>
      </c>
      <c r="J39" s="503">
        <v>6958476</v>
      </c>
      <c r="K39" s="503">
        <v>0</v>
      </c>
      <c r="L39" s="503">
        <v>2351965</v>
      </c>
      <c r="M39" s="503">
        <v>69585</v>
      </c>
      <c r="N39" s="503">
        <v>0</v>
      </c>
      <c r="O39" s="837">
        <v>11.7096</v>
      </c>
      <c r="P39" s="612">
        <f t="shared" ref="P39:AS39" si="51">SUM(P37:P38)</f>
        <v>0</v>
      </c>
      <c r="Q39" s="502">
        <f t="shared" si="51"/>
        <v>0</v>
      </c>
      <c r="R39" s="502">
        <f t="shared" si="51"/>
        <v>0</v>
      </c>
      <c r="S39" s="502">
        <f t="shared" si="51"/>
        <v>0</v>
      </c>
      <c r="T39" s="502">
        <f t="shared" si="51"/>
        <v>0</v>
      </c>
      <c r="U39" s="502">
        <f t="shared" si="51"/>
        <v>0</v>
      </c>
      <c r="V39" s="502">
        <f t="shared" si="51"/>
        <v>0</v>
      </c>
      <c r="W39" s="502">
        <f t="shared" si="51"/>
        <v>0</v>
      </c>
      <c r="X39" s="502">
        <f t="shared" si="51"/>
        <v>0</v>
      </c>
      <c r="Y39" s="502">
        <f t="shared" si="51"/>
        <v>0</v>
      </c>
      <c r="Z39" s="502">
        <f t="shared" si="51"/>
        <v>0</v>
      </c>
      <c r="AA39" s="502">
        <f t="shared" si="51"/>
        <v>0</v>
      </c>
      <c r="AB39" s="502">
        <f t="shared" si="51"/>
        <v>0</v>
      </c>
      <c r="AC39" s="502">
        <f t="shared" si="51"/>
        <v>0</v>
      </c>
      <c r="AD39" s="502">
        <f t="shared" si="51"/>
        <v>0</v>
      </c>
      <c r="AE39" s="852">
        <f t="shared" si="51"/>
        <v>0</v>
      </c>
      <c r="AF39" s="857">
        <f t="shared" si="51"/>
        <v>0</v>
      </c>
      <c r="AG39" s="848">
        <f t="shared" si="51"/>
        <v>0</v>
      </c>
      <c r="AH39" s="848">
        <f t="shared" si="51"/>
        <v>0</v>
      </c>
      <c r="AI39" s="848">
        <f t="shared" si="51"/>
        <v>0</v>
      </c>
      <c r="AJ39" s="848">
        <f t="shared" si="51"/>
        <v>0</v>
      </c>
      <c r="AK39" s="848">
        <f t="shared" si="51"/>
        <v>0</v>
      </c>
      <c r="AL39" s="613">
        <f t="shared" si="51"/>
        <v>0</v>
      </c>
      <c r="AM39" s="612">
        <f t="shared" si="51"/>
        <v>9380026</v>
      </c>
      <c r="AN39" s="502">
        <f t="shared" si="51"/>
        <v>6958476</v>
      </c>
      <c r="AO39" s="549">
        <f t="shared" si="51"/>
        <v>0</v>
      </c>
      <c r="AP39" s="502">
        <f t="shared" si="51"/>
        <v>2351965</v>
      </c>
      <c r="AQ39" s="502">
        <f t="shared" si="51"/>
        <v>69585</v>
      </c>
      <c r="AR39" s="502">
        <f t="shared" si="51"/>
        <v>0</v>
      </c>
      <c r="AS39" s="613">
        <f t="shared" si="51"/>
        <v>11.7096</v>
      </c>
    </row>
    <row r="40" spans="1:45" ht="14.1" customHeight="1" x14ac:dyDescent="0.2">
      <c r="A40" s="499">
        <v>10</v>
      </c>
      <c r="B40" s="511">
        <v>2321</v>
      </c>
      <c r="C40" s="512">
        <v>600079287</v>
      </c>
      <c r="D40" s="511">
        <v>72742976</v>
      </c>
      <c r="E40" s="510" t="s">
        <v>536</v>
      </c>
      <c r="F40" s="499">
        <v>3111</v>
      </c>
      <c r="G40" s="510" t="s">
        <v>277</v>
      </c>
      <c r="H40" s="495" t="s">
        <v>262</v>
      </c>
      <c r="I40" s="610">
        <v>8792717</v>
      </c>
      <c r="J40" s="14">
        <v>6522787</v>
      </c>
      <c r="K40" s="14">
        <v>0</v>
      </c>
      <c r="L40" s="14">
        <v>2204702</v>
      </c>
      <c r="M40" s="14">
        <v>65228</v>
      </c>
      <c r="N40" s="14">
        <v>0</v>
      </c>
      <c r="O40" s="121">
        <v>10.451599999999999</v>
      </c>
      <c r="P40" s="676">
        <f t="shared" si="2"/>
        <v>0</v>
      </c>
      <c r="Q40" s="492">
        <v>0</v>
      </c>
      <c r="R40" s="492">
        <v>0</v>
      </c>
      <c r="S40" s="492">
        <v>0</v>
      </c>
      <c r="T40" s="492">
        <v>0</v>
      </c>
      <c r="U40" s="492">
        <v>0</v>
      </c>
      <c r="V40" s="492">
        <f>P40+Q40+R40+S40+T40+U40</f>
        <v>0</v>
      </c>
      <c r="W40" s="492">
        <v>0</v>
      </c>
      <c r="X40" s="492">
        <v>0</v>
      </c>
      <c r="Y40" s="492">
        <v>0</v>
      </c>
      <c r="Z40" s="492">
        <f t="shared" ref="Z40" si="52">W40+X40+Y40</f>
        <v>0</v>
      </c>
      <c r="AA40" s="492">
        <f t="shared" ref="AA40" si="53">V40+Z40</f>
        <v>0</v>
      </c>
      <c r="AB40" s="494">
        <f t="shared" ref="AB40" si="54">ROUND((V40+Z40)*33.8%,0)</f>
        <v>0</v>
      </c>
      <c r="AC40" s="494">
        <f>ROUND(V40*1%,0)</f>
        <v>0</v>
      </c>
      <c r="AD40" s="14">
        <v>0</v>
      </c>
      <c r="AE40" s="753">
        <f t="shared" si="6"/>
        <v>0</v>
      </c>
      <c r="AF40" s="858">
        <v>0</v>
      </c>
      <c r="AG40" s="491">
        <v>0</v>
      </c>
      <c r="AH40" s="491">
        <v>0</v>
      </c>
      <c r="AI40" s="491">
        <v>0</v>
      </c>
      <c r="AJ40" s="491">
        <v>0</v>
      </c>
      <c r="AK40" s="491">
        <v>0</v>
      </c>
      <c r="AL40" s="609">
        <f>SUM(AF40:AK40)</f>
        <v>0</v>
      </c>
      <c r="AM40" s="676">
        <f>I40+AE40</f>
        <v>8792717</v>
      </c>
      <c r="AN40" s="492">
        <f>J40+V40</f>
        <v>6522787</v>
      </c>
      <c r="AO40" s="492">
        <f>K40+Z40</f>
        <v>0</v>
      </c>
      <c r="AP40" s="492">
        <f>L40+AB40</f>
        <v>2204702</v>
      </c>
      <c r="AQ40" s="492">
        <f>M40+AC40</f>
        <v>65228</v>
      </c>
      <c r="AR40" s="573">
        <f>N40+AD40</f>
        <v>0</v>
      </c>
      <c r="AS40" s="609">
        <f>O40+AL40</f>
        <v>10.451599999999999</v>
      </c>
    </row>
    <row r="41" spans="1:45" ht="14.1" customHeight="1" x14ac:dyDescent="0.2">
      <c r="A41" s="509">
        <v>10</v>
      </c>
      <c r="B41" s="507">
        <v>2321</v>
      </c>
      <c r="C41" s="508">
        <v>600079287</v>
      </c>
      <c r="D41" s="507">
        <v>72742976</v>
      </c>
      <c r="E41" s="505" t="s">
        <v>537</v>
      </c>
      <c r="F41" s="509"/>
      <c r="G41" s="505"/>
      <c r="H41" s="504"/>
      <c r="I41" s="612">
        <v>8792717</v>
      </c>
      <c r="J41" s="503">
        <v>6522787</v>
      </c>
      <c r="K41" s="503">
        <v>0</v>
      </c>
      <c r="L41" s="503">
        <v>2204702</v>
      </c>
      <c r="M41" s="503">
        <v>65228</v>
      </c>
      <c r="N41" s="503">
        <v>0</v>
      </c>
      <c r="O41" s="837">
        <v>10.451599999999999</v>
      </c>
      <c r="P41" s="612">
        <f t="shared" ref="P41:AS41" si="55">SUM(P40:P40)</f>
        <v>0</v>
      </c>
      <c r="Q41" s="502">
        <f t="shared" si="55"/>
        <v>0</v>
      </c>
      <c r="R41" s="502">
        <f t="shared" si="55"/>
        <v>0</v>
      </c>
      <c r="S41" s="502">
        <f t="shared" si="55"/>
        <v>0</v>
      </c>
      <c r="T41" s="502">
        <f t="shared" si="55"/>
        <v>0</v>
      </c>
      <c r="U41" s="502">
        <f t="shared" si="55"/>
        <v>0</v>
      </c>
      <c r="V41" s="502">
        <f t="shared" si="55"/>
        <v>0</v>
      </c>
      <c r="W41" s="502">
        <f t="shared" si="55"/>
        <v>0</v>
      </c>
      <c r="X41" s="502">
        <f t="shared" si="55"/>
        <v>0</v>
      </c>
      <c r="Y41" s="502">
        <f t="shared" si="55"/>
        <v>0</v>
      </c>
      <c r="Z41" s="502">
        <f t="shared" si="55"/>
        <v>0</v>
      </c>
      <c r="AA41" s="502">
        <f t="shared" si="55"/>
        <v>0</v>
      </c>
      <c r="AB41" s="502">
        <f t="shared" si="55"/>
        <v>0</v>
      </c>
      <c r="AC41" s="502">
        <f t="shared" si="55"/>
        <v>0</v>
      </c>
      <c r="AD41" s="502">
        <f t="shared" si="55"/>
        <v>0</v>
      </c>
      <c r="AE41" s="852">
        <f t="shared" si="55"/>
        <v>0</v>
      </c>
      <c r="AF41" s="857">
        <f t="shared" si="55"/>
        <v>0</v>
      </c>
      <c r="AG41" s="848">
        <f t="shared" si="55"/>
        <v>0</v>
      </c>
      <c r="AH41" s="848">
        <f t="shared" si="55"/>
        <v>0</v>
      </c>
      <c r="AI41" s="848">
        <f t="shared" si="55"/>
        <v>0</v>
      </c>
      <c r="AJ41" s="848">
        <f t="shared" si="55"/>
        <v>0</v>
      </c>
      <c r="AK41" s="848">
        <f t="shared" si="55"/>
        <v>0</v>
      </c>
      <c r="AL41" s="613">
        <f t="shared" si="55"/>
        <v>0</v>
      </c>
      <c r="AM41" s="612">
        <f t="shared" si="55"/>
        <v>8792717</v>
      </c>
      <c r="AN41" s="502">
        <f t="shared" si="55"/>
        <v>6522787</v>
      </c>
      <c r="AO41" s="549">
        <f t="shared" si="55"/>
        <v>0</v>
      </c>
      <c r="AP41" s="502">
        <f t="shared" si="55"/>
        <v>2204702</v>
      </c>
      <c r="AQ41" s="502">
        <f t="shared" si="55"/>
        <v>65228</v>
      </c>
      <c r="AR41" s="502">
        <f t="shared" si="55"/>
        <v>0</v>
      </c>
      <c r="AS41" s="613">
        <f t="shared" si="55"/>
        <v>10.451599999999999</v>
      </c>
    </row>
    <row r="42" spans="1:45" ht="14.1" customHeight="1" x14ac:dyDescent="0.2">
      <c r="A42" s="499">
        <v>11</v>
      </c>
      <c r="B42" s="511">
        <v>2423</v>
      </c>
      <c r="C42" s="512">
        <v>600079368</v>
      </c>
      <c r="D42" s="511">
        <v>72742828</v>
      </c>
      <c r="E42" s="510" t="s">
        <v>538</v>
      </c>
      <c r="F42" s="499">
        <v>3111</v>
      </c>
      <c r="G42" s="510" t="s">
        <v>277</v>
      </c>
      <c r="H42" s="495" t="s">
        <v>262</v>
      </c>
      <c r="I42" s="610">
        <v>3546990</v>
      </c>
      <c r="J42" s="14">
        <v>2611447</v>
      </c>
      <c r="K42" s="14">
        <v>20000</v>
      </c>
      <c r="L42" s="14">
        <v>889429</v>
      </c>
      <c r="M42" s="14">
        <v>26114</v>
      </c>
      <c r="N42" s="14">
        <v>0</v>
      </c>
      <c r="O42" s="121">
        <v>4.1957999999999993</v>
      </c>
      <c r="P42" s="676">
        <f t="shared" si="2"/>
        <v>0</v>
      </c>
      <c r="Q42" s="492">
        <v>0</v>
      </c>
      <c r="R42" s="492">
        <v>0</v>
      </c>
      <c r="S42" s="492">
        <v>0</v>
      </c>
      <c r="T42" s="492">
        <v>0</v>
      </c>
      <c r="U42" s="492">
        <v>0</v>
      </c>
      <c r="V42" s="492">
        <f>P42+Q42+R42+S42+T42+U42</f>
        <v>0</v>
      </c>
      <c r="W42" s="492">
        <v>0</v>
      </c>
      <c r="X42" s="492">
        <v>0</v>
      </c>
      <c r="Y42" s="492">
        <v>0</v>
      </c>
      <c r="Z42" s="492">
        <f t="shared" ref="Z42" si="56">W42+X42+Y42</f>
        <v>0</v>
      </c>
      <c r="AA42" s="492">
        <f t="shared" ref="AA42" si="57">V42+Z42</f>
        <v>0</v>
      </c>
      <c r="AB42" s="494">
        <f t="shared" ref="AB42" si="58">ROUND((V42+Z42)*33.8%,0)</f>
        <v>0</v>
      </c>
      <c r="AC42" s="494">
        <f>ROUND(V42*1%,0)</f>
        <v>0</v>
      </c>
      <c r="AD42" s="14">
        <v>0</v>
      </c>
      <c r="AE42" s="753">
        <f t="shared" si="6"/>
        <v>0</v>
      </c>
      <c r="AF42" s="858">
        <v>0</v>
      </c>
      <c r="AG42" s="491">
        <v>0</v>
      </c>
      <c r="AH42" s="491">
        <v>0</v>
      </c>
      <c r="AI42" s="491">
        <v>0</v>
      </c>
      <c r="AJ42" s="491">
        <v>0</v>
      </c>
      <c r="AK42" s="491">
        <v>0</v>
      </c>
      <c r="AL42" s="609">
        <f>SUM(AF42:AK42)</f>
        <v>0</v>
      </c>
      <c r="AM42" s="676">
        <f>I42+AE42</f>
        <v>3546990</v>
      </c>
      <c r="AN42" s="492">
        <f>J42+V42</f>
        <v>2611447</v>
      </c>
      <c r="AO42" s="492">
        <f>K42+Z42</f>
        <v>20000</v>
      </c>
      <c r="AP42" s="492">
        <f>L42+AB42</f>
        <v>889429</v>
      </c>
      <c r="AQ42" s="492">
        <f>M42+AC42</f>
        <v>26114</v>
      </c>
      <c r="AR42" s="573">
        <f>N42+AD42</f>
        <v>0</v>
      </c>
      <c r="AS42" s="609">
        <f>O42+AL42</f>
        <v>4.1957999999999993</v>
      </c>
    </row>
    <row r="43" spans="1:45" ht="14.1" customHeight="1" x14ac:dyDescent="0.2">
      <c r="A43" s="509">
        <v>11</v>
      </c>
      <c r="B43" s="507">
        <v>2423</v>
      </c>
      <c r="C43" s="508">
        <v>600079368</v>
      </c>
      <c r="D43" s="507">
        <v>72742828</v>
      </c>
      <c r="E43" s="505" t="s">
        <v>539</v>
      </c>
      <c r="F43" s="509"/>
      <c r="G43" s="505"/>
      <c r="H43" s="504"/>
      <c r="I43" s="612">
        <v>3546990</v>
      </c>
      <c r="J43" s="503">
        <v>2611447</v>
      </c>
      <c r="K43" s="503">
        <v>20000</v>
      </c>
      <c r="L43" s="503">
        <v>889429</v>
      </c>
      <c r="M43" s="503">
        <v>26114</v>
      </c>
      <c r="N43" s="503">
        <v>0</v>
      </c>
      <c r="O43" s="837">
        <v>4.1957999999999993</v>
      </c>
      <c r="P43" s="612">
        <f t="shared" ref="P43:AS43" si="59">SUM(P42:P42)</f>
        <v>0</v>
      </c>
      <c r="Q43" s="502">
        <f t="shared" si="59"/>
        <v>0</v>
      </c>
      <c r="R43" s="502">
        <f t="shared" si="59"/>
        <v>0</v>
      </c>
      <c r="S43" s="502">
        <f t="shared" si="59"/>
        <v>0</v>
      </c>
      <c r="T43" s="502">
        <f t="shared" si="59"/>
        <v>0</v>
      </c>
      <c r="U43" s="502">
        <f t="shared" si="59"/>
        <v>0</v>
      </c>
      <c r="V43" s="502">
        <f t="shared" si="59"/>
        <v>0</v>
      </c>
      <c r="W43" s="502">
        <f t="shared" si="59"/>
        <v>0</v>
      </c>
      <c r="X43" s="502">
        <f t="shared" si="59"/>
        <v>0</v>
      </c>
      <c r="Y43" s="502">
        <f t="shared" si="59"/>
        <v>0</v>
      </c>
      <c r="Z43" s="502">
        <f t="shared" si="59"/>
        <v>0</v>
      </c>
      <c r="AA43" s="502">
        <f t="shared" si="59"/>
        <v>0</v>
      </c>
      <c r="AB43" s="502">
        <f t="shared" si="59"/>
        <v>0</v>
      </c>
      <c r="AC43" s="502">
        <f t="shared" si="59"/>
        <v>0</v>
      </c>
      <c r="AD43" s="502">
        <f t="shared" si="59"/>
        <v>0</v>
      </c>
      <c r="AE43" s="852">
        <f t="shared" si="59"/>
        <v>0</v>
      </c>
      <c r="AF43" s="857">
        <f t="shared" si="59"/>
        <v>0</v>
      </c>
      <c r="AG43" s="848">
        <f t="shared" si="59"/>
        <v>0</v>
      </c>
      <c r="AH43" s="848">
        <f t="shared" si="59"/>
        <v>0</v>
      </c>
      <c r="AI43" s="848">
        <f t="shared" si="59"/>
        <v>0</v>
      </c>
      <c r="AJ43" s="848">
        <f t="shared" si="59"/>
        <v>0</v>
      </c>
      <c r="AK43" s="848">
        <f t="shared" si="59"/>
        <v>0</v>
      </c>
      <c r="AL43" s="613">
        <f t="shared" si="59"/>
        <v>0</v>
      </c>
      <c r="AM43" s="612">
        <f t="shared" si="59"/>
        <v>3546990</v>
      </c>
      <c r="AN43" s="502">
        <f t="shared" si="59"/>
        <v>2611447</v>
      </c>
      <c r="AO43" s="549">
        <f t="shared" si="59"/>
        <v>20000</v>
      </c>
      <c r="AP43" s="502">
        <f t="shared" si="59"/>
        <v>889429</v>
      </c>
      <c r="AQ43" s="502">
        <f t="shared" si="59"/>
        <v>26114</v>
      </c>
      <c r="AR43" s="502">
        <f t="shared" si="59"/>
        <v>0</v>
      </c>
      <c r="AS43" s="613">
        <f t="shared" si="59"/>
        <v>4.1957999999999993</v>
      </c>
    </row>
    <row r="44" spans="1:45" ht="14.1" customHeight="1" x14ac:dyDescent="0.2">
      <c r="A44" s="499">
        <v>12</v>
      </c>
      <c r="B44" s="511">
        <v>2428</v>
      </c>
      <c r="C44" s="512">
        <v>600079112</v>
      </c>
      <c r="D44" s="511">
        <v>72743140</v>
      </c>
      <c r="E44" s="510" t="s">
        <v>540</v>
      </c>
      <c r="F44" s="499">
        <v>3111</v>
      </c>
      <c r="G44" s="510" t="s">
        <v>277</v>
      </c>
      <c r="H44" s="495" t="s">
        <v>262</v>
      </c>
      <c r="I44" s="610">
        <v>7354366</v>
      </c>
      <c r="J44" s="14">
        <v>5455761</v>
      </c>
      <c r="K44" s="14">
        <v>0</v>
      </c>
      <c r="L44" s="14">
        <v>1844047</v>
      </c>
      <c r="M44" s="14">
        <v>54558</v>
      </c>
      <c r="N44" s="14">
        <v>0</v>
      </c>
      <c r="O44" s="121">
        <v>8.7742000000000004</v>
      </c>
      <c r="P44" s="676">
        <f t="shared" si="2"/>
        <v>0</v>
      </c>
      <c r="Q44" s="492">
        <v>0</v>
      </c>
      <c r="R44" s="492">
        <v>0</v>
      </c>
      <c r="S44" s="492">
        <v>0</v>
      </c>
      <c r="T44" s="492">
        <v>0</v>
      </c>
      <c r="U44" s="492">
        <v>0</v>
      </c>
      <c r="V44" s="492">
        <f>P44+Q44+R44+S44+T44+U44</f>
        <v>0</v>
      </c>
      <c r="W44" s="492">
        <v>0</v>
      </c>
      <c r="X44" s="492">
        <v>0</v>
      </c>
      <c r="Y44" s="492">
        <v>0</v>
      </c>
      <c r="Z44" s="492">
        <f t="shared" ref="Z44" si="60">W44+X44+Y44</f>
        <v>0</v>
      </c>
      <c r="AA44" s="492">
        <f t="shared" ref="AA44" si="61">V44+Z44</f>
        <v>0</v>
      </c>
      <c r="AB44" s="494">
        <f t="shared" ref="AB44" si="62">ROUND((V44+Z44)*33.8%,0)</f>
        <v>0</v>
      </c>
      <c r="AC44" s="494">
        <f>ROUND(V44*1%,0)</f>
        <v>0</v>
      </c>
      <c r="AD44" s="14">
        <v>0</v>
      </c>
      <c r="AE44" s="753">
        <f t="shared" si="6"/>
        <v>0</v>
      </c>
      <c r="AF44" s="858">
        <v>0</v>
      </c>
      <c r="AG44" s="491">
        <v>0</v>
      </c>
      <c r="AH44" s="491">
        <v>0</v>
      </c>
      <c r="AI44" s="491">
        <v>0</v>
      </c>
      <c r="AJ44" s="491">
        <v>0</v>
      </c>
      <c r="AK44" s="491">
        <v>0</v>
      </c>
      <c r="AL44" s="609">
        <f>SUM(AF44:AK44)</f>
        <v>0</v>
      </c>
      <c r="AM44" s="676">
        <f>I44+AE44</f>
        <v>7354366</v>
      </c>
      <c r="AN44" s="492">
        <f>J44+V44</f>
        <v>5455761</v>
      </c>
      <c r="AO44" s="492">
        <f>K44+Z44</f>
        <v>0</v>
      </c>
      <c r="AP44" s="492">
        <f>L44+AB44</f>
        <v>1844047</v>
      </c>
      <c r="AQ44" s="492">
        <f>M44+AC44</f>
        <v>54558</v>
      </c>
      <c r="AR44" s="573">
        <f>N44+AD44</f>
        <v>0</v>
      </c>
      <c r="AS44" s="609">
        <f>O44+AL44</f>
        <v>8.7742000000000004</v>
      </c>
    </row>
    <row r="45" spans="1:45" ht="14.1" customHeight="1" x14ac:dyDescent="0.2">
      <c r="A45" s="509">
        <v>12</v>
      </c>
      <c r="B45" s="507">
        <v>2428</v>
      </c>
      <c r="C45" s="508">
        <v>600079112</v>
      </c>
      <c r="D45" s="507">
        <v>72743140</v>
      </c>
      <c r="E45" s="505" t="s">
        <v>541</v>
      </c>
      <c r="F45" s="509"/>
      <c r="G45" s="505"/>
      <c r="H45" s="504"/>
      <c r="I45" s="612">
        <v>7354366</v>
      </c>
      <c r="J45" s="503">
        <v>5455761</v>
      </c>
      <c r="K45" s="503">
        <v>0</v>
      </c>
      <c r="L45" s="503">
        <v>1844047</v>
      </c>
      <c r="M45" s="503">
        <v>54558</v>
      </c>
      <c r="N45" s="503">
        <v>0</v>
      </c>
      <c r="O45" s="837">
        <v>8.7742000000000004</v>
      </c>
      <c r="P45" s="612">
        <f t="shared" ref="P45:AS45" si="63">SUM(P44:P44)</f>
        <v>0</v>
      </c>
      <c r="Q45" s="502">
        <f t="shared" si="63"/>
        <v>0</v>
      </c>
      <c r="R45" s="502">
        <f t="shared" si="63"/>
        <v>0</v>
      </c>
      <c r="S45" s="502">
        <f t="shared" si="63"/>
        <v>0</v>
      </c>
      <c r="T45" s="502">
        <f t="shared" si="63"/>
        <v>0</v>
      </c>
      <c r="U45" s="502">
        <f t="shared" si="63"/>
        <v>0</v>
      </c>
      <c r="V45" s="502">
        <f t="shared" si="63"/>
        <v>0</v>
      </c>
      <c r="W45" s="502">
        <f t="shared" si="63"/>
        <v>0</v>
      </c>
      <c r="X45" s="502">
        <f t="shared" si="63"/>
        <v>0</v>
      </c>
      <c r="Y45" s="502">
        <f t="shared" si="63"/>
        <v>0</v>
      </c>
      <c r="Z45" s="502">
        <f t="shared" si="63"/>
        <v>0</v>
      </c>
      <c r="AA45" s="502">
        <f t="shared" si="63"/>
        <v>0</v>
      </c>
      <c r="AB45" s="502">
        <f t="shared" si="63"/>
        <v>0</v>
      </c>
      <c r="AC45" s="502">
        <f t="shared" si="63"/>
        <v>0</v>
      </c>
      <c r="AD45" s="502">
        <f t="shared" si="63"/>
        <v>0</v>
      </c>
      <c r="AE45" s="852">
        <f t="shared" si="63"/>
        <v>0</v>
      </c>
      <c r="AF45" s="857">
        <f t="shared" si="63"/>
        <v>0</v>
      </c>
      <c r="AG45" s="848">
        <f t="shared" si="63"/>
        <v>0</v>
      </c>
      <c r="AH45" s="848">
        <f t="shared" si="63"/>
        <v>0</v>
      </c>
      <c r="AI45" s="848">
        <f t="shared" si="63"/>
        <v>0</v>
      </c>
      <c r="AJ45" s="848">
        <f t="shared" si="63"/>
        <v>0</v>
      </c>
      <c r="AK45" s="848">
        <f t="shared" si="63"/>
        <v>0</v>
      </c>
      <c r="AL45" s="613">
        <f t="shared" si="63"/>
        <v>0</v>
      </c>
      <c r="AM45" s="612">
        <f t="shared" si="63"/>
        <v>7354366</v>
      </c>
      <c r="AN45" s="502">
        <f t="shared" si="63"/>
        <v>5455761</v>
      </c>
      <c r="AO45" s="549">
        <f t="shared" si="63"/>
        <v>0</v>
      </c>
      <c r="AP45" s="502">
        <f t="shared" si="63"/>
        <v>1844047</v>
      </c>
      <c r="AQ45" s="502">
        <f t="shared" si="63"/>
        <v>54558</v>
      </c>
      <c r="AR45" s="502">
        <f t="shared" si="63"/>
        <v>0</v>
      </c>
      <c r="AS45" s="613">
        <f t="shared" si="63"/>
        <v>8.7742000000000004</v>
      </c>
    </row>
    <row r="46" spans="1:45" ht="14.1" customHeight="1" x14ac:dyDescent="0.2">
      <c r="A46" s="499">
        <v>13</v>
      </c>
      <c r="B46" s="511">
        <v>2413</v>
      </c>
      <c r="C46" s="512">
        <v>600079601</v>
      </c>
      <c r="D46" s="511">
        <v>72742909</v>
      </c>
      <c r="E46" s="510" t="s">
        <v>542</v>
      </c>
      <c r="F46" s="499">
        <v>3111</v>
      </c>
      <c r="G46" s="510" t="s">
        <v>277</v>
      </c>
      <c r="H46" s="495" t="s">
        <v>262</v>
      </c>
      <c r="I46" s="610">
        <v>4969207</v>
      </c>
      <c r="J46" s="14">
        <v>3686355</v>
      </c>
      <c r="K46" s="14">
        <v>0</v>
      </c>
      <c r="L46" s="14">
        <v>1245988</v>
      </c>
      <c r="M46" s="14">
        <v>36864</v>
      </c>
      <c r="N46" s="14">
        <v>0</v>
      </c>
      <c r="O46" s="121">
        <v>6.2417999999999996</v>
      </c>
      <c r="P46" s="676">
        <f t="shared" si="2"/>
        <v>0</v>
      </c>
      <c r="Q46" s="492">
        <v>0</v>
      </c>
      <c r="R46" s="492">
        <v>0</v>
      </c>
      <c r="S46" s="492">
        <v>0</v>
      </c>
      <c r="T46" s="492">
        <v>0</v>
      </c>
      <c r="U46" s="492">
        <v>0</v>
      </c>
      <c r="V46" s="492">
        <f>P46+Q46+R46+S46+T46+U46</f>
        <v>0</v>
      </c>
      <c r="W46" s="492">
        <v>0</v>
      </c>
      <c r="X46" s="492">
        <v>0</v>
      </c>
      <c r="Y46" s="492">
        <v>0</v>
      </c>
      <c r="Z46" s="492">
        <f t="shared" ref="Z46:Z47" si="64">W46+X46+Y46</f>
        <v>0</v>
      </c>
      <c r="AA46" s="492">
        <f t="shared" ref="AA46:AA47" si="65">V46+Z46</f>
        <v>0</v>
      </c>
      <c r="AB46" s="494">
        <f t="shared" ref="AB46:AB47" si="66">ROUND((V46+Z46)*33.8%,0)</f>
        <v>0</v>
      </c>
      <c r="AC46" s="494">
        <f>ROUND(V46*1%,0)</f>
        <v>0</v>
      </c>
      <c r="AD46" s="14">
        <v>0</v>
      </c>
      <c r="AE46" s="753">
        <f t="shared" si="6"/>
        <v>0</v>
      </c>
      <c r="AF46" s="858">
        <v>0</v>
      </c>
      <c r="AG46" s="491">
        <v>0</v>
      </c>
      <c r="AH46" s="491">
        <v>0</v>
      </c>
      <c r="AI46" s="491">
        <v>0</v>
      </c>
      <c r="AJ46" s="491">
        <v>0</v>
      </c>
      <c r="AK46" s="491">
        <v>0</v>
      </c>
      <c r="AL46" s="609">
        <f>SUM(AF46:AK46)</f>
        <v>0</v>
      </c>
      <c r="AM46" s="676">
        <f>I46+AE46</f>
        <v>4969207</v>
      </c>
      <c r="AN46" s="492">
        <f>J46+V46</f>
        <v>3686355</v>
      </c>
      <c r="AO46" s="492">
        <f t="shared" ref="AO46:AO47" si="67">K46+Z46</f>
        <v>0</v>
      </c>
      <c r="AP46" s="492">
        <f t="shared" ref="AP46:AR47" si="68">L46+AB46</f>
        <v>1245988</v>
      </c>
      <c r="AQ46" s="492">
        <f t="shared" si="68"/>
        <v>36864</v>
      </c>
      <c r="AR46" s="573">
        <f t="shared" si="68"/>
        <v>0</v>
      </c>
      <c r="AS46" s="609">
        <f>O46+AL46</f>
        <v>6.2417999999999996</v>
      </c>
    </row>
    <row r="47" spans="1:45" ht="14.1" customHeight="1" x14ac:dyDescent="0.2">
      <c r="A47" s="499">
        <v>13</v>
      </c>
      <c r="B47" s="511">
        <v>2413</v>
      </c>
      <c r="C47" s="512">
        <v>600079601</v>
      </c>
      <c r="D47" s="511">
        <v>72742909</v>
      </c>
      <c r="E47" s="510" t="s">
        <v>542</v>
      </c>
      <c r="F47" s="499">
        <v>3111</v>
      </c>
      <c r="G47" s="513" t="s">
        <v>278</v>
      </c>
      <c r="H47" s="495" t="s">
        <v>263</v>
      </c>
      <c r="I47" s="610">
        <v>267475</v>
      </c>
      <c r="J47" s="490">
        <v>198424</v>
      </c>
      <c r="K47" s="490">
        <v>0</v>
      </c>
      <c r="L47" s="14">
        <v>67067</v>
      </c>
      <c r="M47" s="14">
        <v>1984</v>
      </c>
      <c r="N47" s="14">
        <v>0</v>
      </c>
      <c r="O47" s="664">
        <v>0.5</v>
      </c>
      <c r="P47" s="676">
        <f t="shared" si="2"/>
        <v>0</v>
      </c>
      <c r="Q47" s="492">
        <v>0</v>
      </c>
      <c r="R47" s="492">
        <v>0</v>
      </c>
      <c r="S47" s="492">
        <v>0</v>
      </c>
      <c r="T47" s="492">
        <v>0</v>
      </c>
      <c r="U47" s="492">
        <v>0</v>
      </c>
      <c r="V47" s="492">
        <f>P47+Q47+R47+S47+T47+U47</f>
        <v>0</v>
      </c>
      <c r="W47" s="492">
        <v>0</v>
      </c>
      <c r="X47" s="492">
        <v>0</v>
      </c>
      <c r="Y47" s="492">
        <v>0</v>
      </c>
      <c r="Z47" s="492">
        <f t="shared" si="64"/>
        <v>0</v>
      </c>
      <c r="AA47" s="492">
        <f t="shared" si="65"/>
        <v>0</v>
      </c>
      <c r="AB47" s="494">
        <f t="shared" si="66"/>
        <v>0</v>
      </c>
      <c r="AC47" s="494">
        <f>ROUND(V47*1%,0)</f>
        <v>0</v>
      </c>
      <c r="AD47" s="14">
        <v>0</v>
      </c>
      <c r="AE47" s="753">
        <f t="shared" si="6"/>
        <v>0</v>
      </c>
      <c r="AF47" s="858">
        <v>0</v>
      </c>
      <c r="AG47" s="491">
        <v>0</v>
      </c>
      <c r="AH47" s="491">
        <v>0</v>
      </c>
      <c r="AI47" s="491">
        <v>0</v>
      </c>
      <c r="AJ47" s="491">
        <v>0</v>
      </c>
      <c r="AK47" s="491">
        <v>0</v>
      </c>
      <c r="AL47" s="609">
        <f>SUM(AF47:AK47)</f>
        <v>0</v>
      </c>
      <c r="AM47" s="676">
        <f>I47+AE47</f>
        <v>267475</v>
      </c>
      <c r="AN47" s="492">
        <f>J47+V47</f>
        <v>198424</v>
      </c>
      <c r="AO47" s="492">
        <f t="shared" si="67"/>
        <v>0</v>
      </c>
      <c r="AP47" s="492">
        <f t="shared" si="68"/>
        <v>67067</v>
      </c>
      <c r="AQ47" s="492">
        <f t="shared" si="68"/>
        <v>1984</v>
      </c>
      <c r="AR47" s="573">
        <f t="shared" si="68"/>
        <v>0</v>
      </c>
      <c r="AS47" s="609">
        <f>O47+AL47</f>
        <v>0.5</v>
      </c>
    </row>
    <row r="48" spans="1:45" ht="14.1" customHeight="1" x14ac:dyDescent="0.2">
      <c r="A48" s="509">
        <v>13</v>
      </c>
      <c r="B48" s="507">
        <v>2413</v>
      </c>
      <c r="C48" s="508">
        <v>600079601</v>
      </c>
      <c r="D48" s="507">
        <v>72742909</v>
      </c>
      <c r="E48" s="505" t="s">
        <v>543</v>
      </c>
      <c r="F48" s="509"/>
      <c r="G48" s="505"/>
      <c r="H48" s="504"/>
      <c r="I48" s="612">
        <v>5236682</v>
      </c>
      <c r="J48" s="503">
        <v>3884779</v>
      </c>
      <c r="K48" s="503">
        <v>0</v>
      </c>
      <c r="L48" s="503">
        <v>1313055</v>
      </c>
      <c r="M48" s="503">
        <v>38848</v>
      </c>
      <c r="N48" s="503">
        <v>0</v>
      </c>
      <c r="O48" s="837">
        <v>6.7417999999999996</v>
      </c>
      <c r="P48" s="612">
        <f t="shared" ref="P48:AS48" si="69">SUM(P46:P47)</f>
        <v>0</v>
      </c>
      <c r="Q48" s="502">
        <f t="shared" si="69"/>
        <v>0</v>
      </c>
      <c r="R48" s="502">
        <f t="shared" si="69"/>
        <v>0</v>
      </c>
      <c r="S48" s="502">
        <f t="shared" si="69"/>
        <v>0</v>
      </c>
      <c r="T48" s="502">
        <f t="shared" si="69"/>
        <v>0</v>
      </c>
      <c r="U48" s="502">
        <f t="shared" si="69"/>
        <v>0</v>
      </c>
      <c r="V48" s="502">
        <f t="shared" si="69"/>
        <v>0</v>
      </c>
      <c r="W48" s="502">
        <f t="shared" si="69"/>
        <v>0</v>
      </c>
      <c r="X48" s="502">
        <f t="shared" si="69"/>
        <v>0</v>
      </c>
      <c r="Y48" s="502">
        <f t="shared" si="69"/>
        <v>0</v>
      </c>
      <c r="Z48" s="502">
        <f t="shared" si="69"/>
        <v>0</v>
      </c>
      <c r="AA48" s="502">
        <f t="shared" si="69"/>
        <v>0</v>
      </c>
      <c r="AB48" s="502">
        <f t="shared" si="69"/>
        <v>0</v>
      </c>
      <c r="AC48" s="502">
        <f t="shared" si="69"/>
        <v>0</v>
      </c>
      <c r="AD48" s="502">
        <f t="shared" si="69"/>
        <v>0</v>
      </c>
      <c r="AE48" s="852">
        <f t="shared" si="69"/>
        <v>0</v>
      </c>
      <c r="AF48" s="857">
        <f t="shared" si="69"/>
        <v>0</v>
      </c>
      <c r="AG48" s="848">
        <f t="shared" si="69"/>
        <v>0</v>
      </c>
      <c r="AH48" s="848">
        <f t="shared" si="69"/>
        <v>0</v>
      </c>
      <c r="AI48" s="848">
        <f t="shared" si="69"/>
        <v>0</v>
      </c>
      <c r="AJ48" s="848">
        <f t="shared" si="69"/>
        <v>0</v>
      </c>
      <c r="AK48" s="848">
        <f t="shared" si="69"/>
        <v>0</v>
      </c>
      <c r="AL48" s="613">
        <f t="shared" si="69"/>
        <v>0</v>
      </c>
      <c r="AM48" s="612">
        <f t="shared" si="69"/>
        <v>5236682</v>
      </c>
      <c r="AN48" s="502">
        <f t="shared" si="69"/>
        <v>3884779</v>
      </c>
      <c r="AO48" s="549">
        <f t="shared" si="69"/>
        <v>0</v>
      </c>
      <c r="AP48" s="502">
        <f t="shared" si="69"/>
        <v>1313055</v>
      </c>
      <c r="AQ48" s="502">
        <f t="shared" si="69"/>
        <v>38848</v>
      </c>
      <c r="AR48" s="502">
        <f t="shared" si="69"/>
        <v>0</v>
      </c>
      <c r="AS48" s="613">
        <f t="shared" si="69"/>
        <v>6.7417999999999996</v>
      </c>
    </row>
    <row r="49" spans="1:45" ht="14.1" customHeight="1" x14ac:dyDescent="0.2">
      <c r="A49" s="499">
        <v>14</v>
      </c>
      <c r="B49" s="511">
        <v>2410</v>
      </c>
      <c r="C49" s="512">
        <v>600079121</v>
      </c>
      <c r="D49" s="511">
        <v>72742348</v>
      </c>
      <c r="E49" s="510" t="s">
        <v>544</v>
      </c>
      <c r="F49" s="499">
        <v>3111</v>
      </c>
      <c r="G49" s="510" t="s">
        <v>277</v>
      </c>
      <c r="H49" s="495" t="s">
        <v>262</v>
      </c>
      <c r="I49" s="610">
        <v>7132530</v>
      </c>
      <c r="J49" s="14">
        <v>5249109</v>
      </c>
      <c r="K49" s="14">
        <v>42400</v>
      </c>
      <c r="L49" s="14">
        <v>1788530</v>
      </c>
      <c r="M49" s="14">
        <v>52491</v>
      </c>
      <c r="N49" s="14">
        <v>0</v>
      </c>
      <c r="O49" s="121">
        <v>8.5106000000000002</v>
      </c>
      <c r="P49" s="676">
        <f t="shared" si="2"/>
        <v>0</v>
      </c>
      <c r="Q49" s="492">
        <v>0</v>
      </c>
      <c r="R49" s="492">
        <v>0</v>
      </c>
      <c r="S49" s="492">
        <v>0</v>
      </c>
      <c r="T49" s="492">
        <v>0</v>
      </c>
      <c r="U49" s="492">
        <v>0</v>
      </c>
      <c r="V49" s="492">
        <f>P49+Q49+R49+S49+T49+U49</f>
        <v>0</v>
      </c>
      <c r="W49" s="492">
        <v>0</v>
      </c>
      <c r="X49" s="492">
        <v>0</v>
      </c>
      <c r="Y49" s="492">
        <v>0</v>
      </c>
      <c r="Z49" s="492">
        <f t="shared" ref="Z49:Z50" si="70">W49+X49+Y49</f>
        <v>0</v>
      </c>
      <c r="AA49" s="492">
        <f t="shared" ref="AA49:AA50" si="71">V49+Z49</f>
        <v>0</v>
      </c>
      <c r="AB49" s="494">
        <f t="shared" ref="AB49:AB50" si="72">ROUND((V49+Z49)*33.8%,0)</f>
        <v>0</v>
      </c>
      <c r="AC49" s="494">
        <f>ROUND(V49*1%,0)</f>
        <v>0</v>
      </c>
      <c r="AD49" s="14">
        <v>0</v>
      </c>
      <c r="AE49" s="753">
        <f t="shared" si="6"/>
        <v>0</v>
      </c>
      <c r="AF49" s="858">
        <v>0</v>
      </c>
      <c r="AG49" s="491">
        <v>0</v>
      </c>
      <c r="AH49" s="491">
        <v>0</v>
      </c>
      <c r="AI49" s="491">
        <v>0</v>
      </c>
      <c r="AJ49" s="491">
        <v>0</v>
      </c>
      <c r="AK49" s="491">
        <v>0</v>
      </c>
      <c r="AL49" s="609">
        <f>SUM(AF49:AK49)</f>
        <v>0</v>
      </c>
      <c r="AM49" s="676">
        <f>I49+AE49</f>
        <v>7132530</v>
      </c>
      <c r="AN49" s="492">
        <f>J49+V49</f>
        <v>5249109</v>
      </c>
      <c r="AO49" s="492">
        <f t="shared" ref="AO49:AO50" si="73">K49+Z49</f>
        <v>42400</v>
      </c>
      <c r="AP49" s="492">
        <f t="shared" ref="AP49:AR50" si="74">L49+AB49</f>
        <v>1788530</v>
      </c>
      <c r="AQ49" s="492">
        <f t="shared" si="74"/>
        <v>52491</v>
      </c>
      <c r="AR49" s="573">
        <f t="shared" si="74"/>
        <v>0</v>
      </c>
      <c r="AS49" s="609">
        <f>O49+AL49</f>
        <v>8.5106000000000002</v>
      </c>
    </row>
    <row r="50" spans="1:45" ht="14.1" customHeight="1" x14ac:dyDescent="0.2">
      <c r="A50" s="499">
        <v>14</v>
      </c>
      <c r="B50" s="511">
        <v>2410</v>
      </c>
      <c r="C50" s="512">
        <v>600079121</v>
      </c>
      <c r="D50" s="511">
        <v>72742348</v>
      </c>
      <c r="E50" s="510" t="s">
        <v>544</v>
      </c>
      <c r="F50" s="499">
        <v>3111</v>
      </c>
      <c r="G50" s="39" t="s">
        <v>279</v>
      </c>
      <c r="H50" s="495" t="s">
        <v>262</v>
      </c>
      <c r="I50" s="610">
        <v>467309</v>
      </c>
      <c r="J50" s="14">
        <v>346668</v>
      </c>
      <c r="K50" s="14">
        <v>0</v>
      </c>
      <c r="L50" s="14">
        <v>117174</v>
      </c>
      <c r="M50" s="14">
        <v>3467</v>
      </c>
      <c r="N50" s="14">
        <v>0</v>
      </c>
      <c r="O50" s="121">
        <v>1</v>
      </c>
      <c r="P50" s="676">
        <f t="shared" si="2"/>
        <v>0</v>
      </c>
      <c r="Q50" s="492">
        <v>0</v>
      </c>
      <c r="R50" s="492">
        <v>0</v>
      </c>
      <c r="S50" s="492">
        <v>0</v>
      </c>
      <c r="T50" s="492">
        <v>0</v>
      </c>
      <c r="U50" s="492">
        <v>0</v>
      </c>
      <c r="V50" s="492">
        <f>P50+Q50+R50+S50+T50+U50</f>
        <v>0</v>
      </c>
      <c r="W50" s="492">
        <v>0</v>
      </c>
      <c r="X50" s="492">
        <v>0</v>
      </c>
      <c r="Y50" s="492">
        <v>0</v>
      </c>
      <c r="Z50" s="492">
        <f t="shared" si="70"/>
        <v>0</v>
      </c>
      <c r="AA50" s="492">
        <f t="shared" si="71"/>
        <v>0</v>
      </c>
      <c r="AB50" s="494">
        <f t="shared" si="72"/>
        <v>0</v>
      </c>
      <c r="AC50" s="494">
        <f>ROUND(V50*1%,0)</f>
        <v>0</v>
      </c>
      <c r="AD50" s="14">
        <v>0</v>
      </c>
      <c r="AE50" s="753">
        <f t="shared" si="6"/>
        <v>0</v>
      </c>
      <c r="AF50" s="858">
        <v>0</v>
      </c>
      <c r="AG50" s="491">
        <v>0</v>
      </c>
      <c r="AH50" s="491">
        <v>0</v>
      </c>
      <c r="AI50" s="491">
        <v>0</v>
      </c>
      <c r="AJ50" s="491">
        <v>0</v>
      </c>
      <c r="AK50" s="491">
        <v>0</v>
      </c>
      <c r="AL50" s="609">
        <f>SUM(AF50:AK50)</f>
        <v>0</v>
      </c>
      <c r="AM50" s="676">
        <f>I50+AE50</f>
        <v>467309</v>
      </c>
      <c r="AN50" s="492">
        <f>J50+V50</f>
        <v>346668</v>
      </c>
      <c r="AO50" s="492">
        <f t="shared" si="73"/>
        <v>0</v>
      </c>
      <c r="AP50" s="492">
        <f t="shared" si="74"/>
        <v>117174</v>
      </c>
      <c r="AQ50" s="492">
        <f t="shared" si="74"/>
        <v>3467</v>
      </c>
      <c r="AR50" s="573">
        <f t="shared" si="74"/>
        <v>0</v>
      </c>
      <c r="AS50" s="609">
        <f>O50+AL50</f>
        <v>1</v>
      </c>
    </row>
    <row r="51" spans="1:45" ht="14.1" customHeight="1" x14ac:dyDescent="0.2">
      <c r="A51" s="509">
        <v>14</v>
      </c>
      <c r="B51" s="507">
        <v>2410</v>
      </c>
      <c r="C51" s="508">
        <v>600079121</v>
      </c>
      <c r="D51" s="507">
        <v>72742348</v>
      </c>
      <c r="E51" s="505" t="s">
        <v>545</v>
      </c>
      <c r="F51" s="509"/>
      <c r="G51" s="505"/>
      <c r="H51" s="504"/>
      <c r="I51" s="612">
        <v>7599839</v>
      </c>
      <c r="J51" s="503">
        <v>5595777</v>
      </c>
      <c r="K51" s="503">
        <v>42400</v>
      </c>
      <c r="L51" s="503">
        <v>1905704</v>
      </c>
      <c r="M51" s="503">
        <v>55958</v>
      </c>
      <c r="N51" s="503">
        <v>0</v>
      </c>
      <c r="O51" s="837">
        <v>9.5106000000000002</v>
      </c>
      <c r="P51" s="612">
        <f t="shared" ref="P51:AS51" si="75">SUM(P49:P50)</f>
        <v>0</v>
      </c>
      <c r="Q51" s="502">
        <f t="shared" si="75"/>
        <v>0</v>
      </c>
      <c r="R51" s="502">
        <f t="shared" si="75"/>
        <v>0</v>
      </c>
      <c r="S51" s="502">
        <f t="shared" si="75"/>
        <v>0</v>
      </c>
      <c r="T51" s="502">
        <f t="shared" si="75"/>
        <v>0</v>
      </c>
      <c r="U51" s="502">
        <f t="shared" si="75"/>
        <v>0</v>
      </c>
      <c r="V51" s="502">
        <f t="shared" si="75"/>
        <v>0</v>
      </c>
      <c r="W51" s="502">
        <f t="shared" si="75"/>
        <v>0</v>
      </c>
      <c r="X51" s="502">
        <f t="shared" si="75"/>
        <v>0</v>
      </c>
      <c r="Y51" s="502">
        <f t="shared" si="75"/>
        <v>0</v>
      </c>
      <c r="Z51" s="502">
        <f t="shared" si="75"/>
        <v>0</v>
      </c>
      <c r="AA51" s="502">
        <f t="shared" si="75"/>
        <v>0</v>
      </c>
      <c r="AB51" s="502">
        <f t="shared" si="75"/>
        <v>0</v>
      </c>
      <c r="AC51" s="502">
        <f t="shared" si="75"/>
        <v>0</v>
      </c>
      <c r="AD51" s="502">
        <f t="shared" si="75"/>
        <v>0</v>
      </c>
      <c r="AE51" s="852">
        <f t="shared" si="75"/>
        <v>0</v>
      </c>
      <c r="AF51" s="857">
        <f t="shared" si="75"/>
        <v>0</v>
      </c>
      <c r="AG51" s="848">
        <f t="shared" si="75"/>
        <v>0</v>
      </c>
      <c r="AH51" s="848">
        <f t="shared" si="75"/>
        <v>0</v>
      </c>
      <c r="AI51" s="848">
        <f t="shared" si="75"/>
        <v>0</v>
      </c>
      <c r="AJ51" s="848">
        <f t="shared" si="75"/>
        <v>0</v>
      </c>
      <c r="AK51" s="848">
        <f t="shared" si="75"/>
        <v>0</v>
      </c>
      <c r="AL51" s="613">
        <f t="shared" si="75"/>
        <v>0</v>
      </c>
      <c r="AM51" s="612">
        <f t="shared" si="75"/>
        <v>7599839</v>
      </c>
      <c r="AN51" s="502">
        <f t="shared" si="75"/>
        <v>5595777</v>
      </c>
      <c r="AO51" s="549">
        <f t="shared" si="75"/>
        <v>42400</v>
      </c>
      <c r="AP51" s="502">
        <f t="shared" si="75"/>
        <v>1905704</v>
      </c>
      <c r="AQ51" s="502">
        <f t="shared" si="75"/>
        <v>55958</v>
      </c>
      <c r="AR51" s="502">
        <f t="shared" si="75"/>
        <v>0</v>
      </c>
      <c r="AS51" s="613">
        <f t="shared" si="75"/>
        <v>9.5106000000000002</v>
      </c>
    </row>
    <row r="52" spans="1:45" ht="14.1" customHeight="1" x14ac:dyDescent="0.2">
      <c r="A52" s="499">
        <v>15</v>
      </c>
      <c r="B52" s="511">
        <v>2436</v>
      </c>
      <c r="C52" s="512">
        <v>600079538</v>
      </c>
      <c r="D52" s="511">
        <v>72741546</v>
      </c>
      <c r="E52" s="510" t="s">
        <v>546</v>
      </c>
      <c r="F52" s="499">
        <v>3111</v>
      </c>
      <c r="G52" s="510" t="s">
        <v>277</v>
      </c>
      <c r="H52" s="495" t="s">
        <v>262</v>
      </c>
      <c r="I52" s="610">
        <v>8474344</v>
      </c>
      <c r="J52" s="14">
        <v>6236976</v>
      </c>
      <c r="K52" s="14">
        <v>50000</v>
      </c>
      <c r="L52" s="14">
        <v>2124998</v>
      </c>
      <c r="M52" s="14">
        <v>62370</v>
      </c>
      <c r="N52" s="14">
        <v>0</v>
      </c>
      <c r="O52" s="121">
        <v>10.645099999999999</v>
      </c>
      <c r="P52" s="676">
        <f t="shared" si="2"/>
        <v>0</v>
      </c>
      <c r="Q52" s="492">
        <v>0</v>
      </c>
      <c r="R52" s="492">
        <v>0</v>
      </c>
      <c r="S52" s="492">
        <v>0</v>
      </c>
      <c r="T52" s="492">
        <v>0</v>
      </c>
      <c r="U52" s="492">
        <v>0</v>
      </c>
      <c r="V52" s="492">
        <f>P52+Q52+R52+S52+T52+U52</f>
        <v>0</v>
      </c>
      <c r="W52" s="492">
        <v>0</v>
      </c>
      <c r="X52" s="492">
        <v>0</v>
      </c>
      <c r="Y52" s="492">
        <v>0</v>
      </c>
      <c r="Z52" s="492">
        <f t="shared" ref="Z52:Z53" si="76">W52+X52+Y52</f>
        <v>0</v>
      </c>
      <c r="AA52" s="492">
        <f t="shared" ref="AA52:AA53" si="77">V52+Z52</f>
        <v>0</v>
      </c>
      <c r="AB52" s="494">
        <f t="shared" ref="AB52:AB53" si="78">ROUND((V52+Z52)*33.8%,0)</f>
        <v>0</v>
      </c>
      <c r="AC52" s="494">
        <f>ROUND(V52*1%,0)</f>
        <v>0</v>
      </c>
      <c r="AD52" s="14">
        <v>0</v>
      </c>
      <c r="AE52" s="753">
        <f t="shared" si="6"/>
        <v>0</v>
      </c>
      <c r="AF52" s="858">
        <v>0</v>
      </c>
      <c r="AG52" s="491">
        <v>0</v>
      </c>
      <c r="AH52" s="491">
        <v>0</v>
      </c>
      <c r="AI52" s="491">
        <v>0</v>
      </c>
      <c r="AJ52" s="491">
        <v>0</v>
      </c>
      <c r="AK52" s="491">
        <v>0</v>
      </c>
      <c r="AL52" s="609">
        <f>SUM(AF52:AK52)</f>
        <v>0</v>
      </c>
      <c r="AM52" s="676">
        <f>I52+AE52</f>
        <v>8474344</v>
      </c>
      <c r="AN52" s="492">
        <f>J52+V52</f>
        <v>6236976</v>
      </c>
      <c r="AO52" s="492">
        <f t="shared" ref="AO52:AO53" si="79">K52+Z52</f>
        <v>50000</v>
      </c>
      <c r="AP52" s="492">
        <f t="shared" ref="AP52:AR53" si="80">L52+AB52</f>
        <v>2124998</v>
      </c>
      <c r="AQ52" s="492">
        <f t="shared" si="80"/>
        <v>62370</v>
      </c>
      <c r="AR52" s="573">
        <f t="shared" si="80"/>
        <v>0</v>
      </c>
      <c r="AS52" s="609">
        <f>O52+AL52</f>
        <v>10.645099999999999</v>
      </c>
    </row>
    <row r="53" spans="1:45" ht="14.1" customHeight="1" x14ac:dyDescent="0.2">
      <c r="A53" s="499">
        <v>15</v>
      </c>
      <c r="B53" s="511">
        <v>2436</v>
      </c>
      <c r="C53" s="512">
        <v>600079538</v>
      </c>
      <c r="D53" s="511">
        <v>72741546</v>
      </c>
      <c r="E53" s="510" t="s">
        <v>546</v>
      </c>
      <c r="F53" s="499">
        <v>3111</v>
      </c>
      <c r="G53" s="513" t="s">
        <v>278</v>
      </c>
      <c r="H53" s="495" t="s">
        <v>263</v>
      </c>
      <c r="I53" s="610">
        <v>1337376</v>
      </c>
      <c r="J53" s="490">
        <v>992119</v>
      </c>
      <c r="K53" s="490">
        <v>0</v>
      </c>
      <c r="L53" s="14">
        <v>335336</v>
      </c>
      <c r="M53" s="14">
        <v>9921</v>
      </c>
      <c r="N53" s="14">
        <v>0</v>
      </c>
      <c r="O53" s="664">
        <v>2.5</v>
      </c>
      <c r="P53" s="676">
        <f t="shared" si="2"/>
        <v>0</v>
      </c>
      <c r="Q53" s="492">
        <v>0</v>
      </c>
      <c r="R53" s="492">
        <v>0</v>
      </c>
      <c r="S53" s="492">
        <v>0</v>
      </c>
      <c r="T53" s="492">
        <v>0</v>
      </c>
      <c r="U53" s="492">
        <v>0</v>
      </c>
      <c r="V53" s="492">
        <f>P53+Q53+R53+S53+T53+U53</f>
        <v>0</v>
      </c>
      <c r="W53" s="492">
        <v>0</v>
      </c>
      <c r="X53" s="492">
        <v>0</v>
      </c>
      <c r="Y53" s="492">
        <v>0</v>
      </c>
      <c r="Z53" s="492">
        <f t="shared" si="76"/>
        <v>0</v>
      </c>
      <c r="AA53" s="492">
        <f t="shared" si="77"/>
        <v>0</v>
      </c>
      <c r="AB53" s="494">
        <f t="shared" si="78"/>
        <v>0</v>
      </c>
      <c r="AC53" s="494">
        <f>ROUND(V53*1%,0)</f>
        <v>0</v>
      </c>
      <c r="AD53" s="14">
        <v>0</v>
      </c>
      <c r="AE53" s="753">
        <f t="shared" si="6"/>
        <v>0</v>
      </c>
      <c r="AF53" s="858">
        <v>0</v>
      </c>
      <c r="AG53" s="491">
        <v>0</v>
      </c>
      <c r="AH53" s="491">
        <v>0</v>
      </c>
      <c r="AI53" s="491">
        <v>0</v>
      </c>
      <c r="AJ53" s="491">
        <v>0</v>
      </c>
      <c r="AK53" s="491">
        <v>0</v>
      </c>
      <c r="AL53" s="609">
        <f>SUM(AF53:AK53)</f>
        <v>0</v>
      </c>
      <c r="AM53" s="676">
        <f>I53+AE53</f>
        <v>1337376</v>
      </c>
      <c r="AN53" s="492">
        <f>J53+V53</f>
        <v>992119</v>
      </c>
      <c r="AO53" s="492">
        <f t="shared" si="79"/>
        <v>0</v>
      </c>
      <c r="AP53" s="492">
        <f t="shared" si="80"/>
        <v>335336</v>
      </c>
      <c r="AQ53" s="492">
        <f t="shared" si="80"/>
        <v>9921</v>
      </c>
      <c r="AR53" s="573">
        <f t="shared" si="80"/>
        <v>0</v>
      </c>
      <c r="AS53" s="609">
        <f>O53+AL53</f>
        <v>2.5</v>
      </c>
    </row>
    <row r="54" spans="1:45" ht="14.1" customHeight="1" x14ac:dyDescent="0.2">
      <c r="A54" s="509">
        <v>15</v>
      </c>
      <c r="B54" s="507">
        <v>2436</v>
      </c>
      <c r="C54" s="508">
        <v>600079538</v>
      </c>
      <c r="D54" s="507">
        <v>72741546</v>
      </c>
      <c r="E54" s="505" t="s">
        <v>547</v>
      </c>
      <c r="F54" s="509"/>
      <c r="G54" s="505"/>
      <c r="H54" s="504"/>
      <c r="I54" s="612">
        <v>9811720</v>
      </c>
      <c r="J54" s="503">
        <v>7229095</v>
      </c>
      <c r="K54" s="503">
        <v>50000</v>
      </c>
      <c r="L54" s="503">
        <v>2460334</v>
      </c>
      <c r="M54" s="503">
        <v>72291</v>
      </c>
      <c r="N54" s="503">
        <v>0</v>
      </c>
      <c r="O54" s="837">
        <v>13.145099999999999</v>
      </c>
      <c r="P54" s="612">
        <f t="shared" ref="P54:AS54" si="81">SUM(P52:P53)</f>
        <v>0</v>
      </c>
      <c r="Q54" s="502">
        <f t="shared" si="81"/>
        <v>0</v>
      </c>
      <c r="R54" s="502">
        <f t="shared" si="81"/>
        <v>0</v>
      </c>
      <c r="S54" s="502">
        <f t="shared" si="81"/>
        <v>0</v>
      </c>
      <c r="T54" s="502">
        <f t="shared" si="81"/>
        <v>0</v>
      </c>
      <c r="U54" s="502">
        <f t="shared" si="81"/>
        <v>0</v>
      </c>
      <c r="V54" s="502">
        <f t="shared" si="81"/>
        <v>0</v>
      </c>
      <c r="W54" s="502">
        <f t="shared" si="81"/>
        <v>0</v>
      </c>
      <c r="X54" s="502">
        <f t="shared" si="81"/>
        <v>0</v>
      </c>
      <c r="Y54" s="502">
        <f t="shared" si="81"/>
        <v>0</v>
      </c>
      <c r="Z54" s="502">
        <f t="shared" si="81"/>
        <v>0</v>
      </c>
      <c r="AA54" s="502">
        <f t="shared" si="81"/>
        <v>0</v>
      </c>
      <c r="AB54" s="502">
        <f t="shared" si="81"/>
        <v>0</v>
      </c>
      <c r="AC54" s="502">
        <f t="shared" si="81"/>
        <v>0</v>
      </c>
      <c r="AD54" s="502">
        <f t="shared" si="81"/>
        <v>0</v>
      </c>
      <c r="AE54" s="852">
        <f t="shared" si="81"/>
        <v>0</v>
      </c>
      <c r="AF54" s="857">
        <f t="shared" si="81"/>
        <v>0</v>
      </c>
      <c r="AG54" s="848">
        <f t="shared" si="81"/>
        <v>0</v>
      </c>
      <c r="AH54" s="848">
        <f t="shared" si="81"/>
        <v>0</v>
      </c>
      <c r="AI54" s="848">
        <f t="shared" si="81"/>
        <v>0</v>
      </c>
      <c r="AJ54" s="848">
        <f t="shared" si="81"/>
        <v>0</v>
      </c>
      <c r="AK54" s="848">
        <f t="shared" si="81"/>
        <v>0</v>
      </c>
      <c r="AL54" s="613">
        <f t="shared" si="81"/>
        <v>0</v>
      </c>
      <c r="AM54" s="612">
        <f t="shared" si="81"/>
        <v>9811720</v>
      </c>
      <c r="AN54" s="502">
        <f t="shared" si="81"/>
        <v>7229095</v>
      </c>
      <c r="AO54" s="549">
        <f t="shared" si="81"/>
        <v>50000</v>
      </c>
      <c r="AP54" s="502">
        <f t="shared" si="81"/>
        <v>2460334</v>
      </c>
      <c r="AQ54" s="502">
        <f t="shared" si="81"/>
        <v>72291</v>
      </c>
      <c r="AR54" s="502">
        <f t="shared" si="81"/>
        <v>0</v>
      </c>
      <c r="AS54" s="613">
        <f t="shared" si="81"/>
        <v>13.145099999999999</v>
      </c>
    </row>
    <row r="55" spans="1:45" ht="14.1" customHeight="1" x14ac:dyDescent="0.2">
      <c r="A55" s="499">
        <v>16</v>
      </c>
      <c r="B55" s="511">
        <v>2424</v>
      </c>
      <c r="C55" s="512">
        <v>600079147</v>
      </c>
      <c r="D55" s="511">
        <v>72741945</v>
      </c>
      <c r="E55" s="510" t="s">
        <v>548</v>
      </c>
      <c r="F55" s="499">
        <v>3111</v>
      </c>
      <c r="G55" s="510" t="s">
        <v>277</v>
      </c>
      <c r="H55" s="495" t="s">
        <v>262</v>
      </c>
      <c r="I55" s="610">
        <v>3155082</v>
      </c>
      <c r="J55" s="14">
        <v>2340565</v>
      </c>
      <c r="K55" s="14">
        <v>0</v>
      </c>
      <c r="L55" s="14">
        <v>791111</v>
      </c>
      <c r="M55" s="14">
        <v>23406</v>
      </c>
      <c r="N55" s="14">
        <v>0</v>
      </c>
      <c r="O55" s="121">
        <v>4</v>
      </c>
      <c r="P55" s="676">
        <f t="shared" si="2"/>
        <v>0</v>
      </c>
      <c r="Q55" s="492">
        <v>0</v>
      </c>
      <c r="R55" s="492">
        <v>0</v>
      </c>
      <c r="S55" s="492">
        <v>0</v>
      </c>
      <c r="T55" s="492">
        <v>0</v>
      </c>
      <c r="U55" s="492">
        <v>0</v>
      </c>
      <c r="V55" s="492">
        <f>P55+Q55+R55+S55+T55+U55</f>
        <v>0</v>
      </c>
      <c r="W55" s="492">
        <v>0</v>
      </c>
      <c r="X55" s="492">
        <v>0</v>
      </c>
      <c r="Y55" s="492">
        <v>0</v>
      </c>
      <c r="Z55" s="492">
        <f t="shared" ref="Z55" si="82">W55+X55+Y55</f>
        <v>0</v>
      </c>
      <c r="AA55" s="492">
        <f t="shared" ref="AA55" si="83">V55+Z55</f>
        <v>0</v>
      </c>
      <c r="AB55" s="494">
        <f t="shared" ref="AB55" si="84">ROUND((V55+Z55)*33.8%,0)</f>
        <v>0</v>
      </c>
      <c r="AC55" s="494">
        <f>ROUND(V55*1%,0)</f>
        <v>0</v>
      </c>
      <c r="AD55" s="14">
        <v>0</v>
      </c>
      <c r="AE55" s="753">
        <f t="shared" si="6"/>
        <v>0</v>
      </c>
      <c r="AF55" s="858">
        <v>0</v>
      </c>
      <c r="AG55" s="491">
        <v>0</v>
      </c>
      <c r="AH55" s="491">
        <v>0</v>
      </c>
      <c r="AI55" s="491">
        <v>0</v>
      </c>
      <c r="AJ55" s="491">
        <v>0</v>
      </c>
      <c r="AK55" s="491">
        <v>0</v>
      </c>
      <c r="AL55" s="609">
        <f>SUM(AF55:AK55)</f>
        <v>0</v>
      </c>
      <c r="AM55" s="676">
        <f>I55+AE55</f>
        <v>3155082</v>
      </c>
      <c r="AN55" s="492">
        <f>J55+V55</f>
        <v>2340565</v>
      </c>
      <c r="AO55" s="492">
        <f>K55+Z55</f>
        <v>0</v>
      </c>
      <c r="AP55" s="492">
        <f>L55+AB55</f>
        <v>791111</v>
      </c>
      <c r="AQ55" s="492">
        <f>M55+AC55</f>
        <v>23406</v>
      </c>
      <c r="AR55" s="573">
        <f>N55+AD55</f>
        <v>0</v>
      </c>
      <c r="AS55" s="609">
        <f>O55+AL55</f>
        <v>4</v>
      </c>
    </row>
    <row r="56" spans="1:45" ht="14.1" customHeight="1" x14ac:dyDescent="0.2">
      <c r="A56" s="509">
        <v>16</v>
      </c>
      <c r="B56" s="507">
        <v>2424</v>
      </c>
      <c r="C56" s="508">
        <v>600079147</v>
      </c>
      <c r="D56" s="507">
        <v>72741945</v>
      </c>
      <c r="E56" s="505" t="s">
        <v>549</v>
      </c>
      <c r="F56" s="509"/>
      <c r="G56" s="505"/>
      <c r="H56" s="504"/>
      <c r="I56" s="612">
        <v>3155082</v>
      </c>
      <c r="J56" s="503">
        <v>2340565</v>
      </c>
      <c r="K56" s="503">
        <v>0</v>
      </c>
      <c r="L56" s="503">
        <v>791111</v>
      </c>
      <c r="M56" s="503">
        <v>23406</v>
      </c>
      <c r="N56" s="503">
        <v>0</v>
      </c>
      <c r="O56" s="837">
        <v>4</v>
      </c>
      <c r="P56" s="612">
        <f t="shared" ref="P56:AS56" si="85">SUM(P55:P55)</f>
        <v>0</v>
      </c>
      <c r="Q56" s="502">
        <f t="shared" si="85"/>
        <v>0</v>
      </c>
      <c r="R56" s="502">
        <f t="shared" si="85"/>
        <v>0</v>
      </c>
      <c r="S56" s="502">
        <f t="shared" si="85"/>
        <v>0</v>
      </c>
      <c r="T56" s="502">
        <f t="shared" si="85"/>
        <v>0</v>
      </c>
      <c r="U56" s="502">
        <f t="shared" si="85"/>
        <v>0</v>
      </c>
      <c r="V56" s="502">
        <f t="shared" si="85"/>
        <v>0</v>
      </c>
      <c r="W56" s="502">
        <f t="shared" si="85"/>
        <v>0</v>
      </c>
      <c r="X56" s="502">
        <f t="shared" si="85"/>
        <v>0</v>
      </c>
      <c r="Y56" s="502">
        <f t="shared" si="85"/>
        <v>0</v>
      </c>
      <c r="Z56" s="502">
        <f t="shared" si="85"/>
        <v>0</v>
      </c>
      <c r="AA56" s="502">
        <f t="shared" si="85"/>
        <v>0</v>
      </c>
      <c r="AB56" s="502">
        <f t="shared" si="85"/>
        <v>0</v>
      </c>
      <c r="AC56" s="502">
        <f t="shared" si="85"/>
        <v>0</v>
      </c>
      <c r="AD56" s="502">
        <f t="shared" si="85"/>
        <v>0</v>
      </c>
      <c r="AE56" s="852">
        <f t="shared" si="85"/>
        <v>0</v>
      </c>
      <c r="AF56" s="857">
        <f t="shared" si="85"/>
        <v>0</v>
      </c>
      <c r="AG56" s="848">
        <f t="shared" si="85"/>
        <v>0</v>
      </c>
      <c r="AH56" s="848">
        <f t="shared" si="85"/>
        <v>0</v>
      </c>
      <c r="AI56" s="848">
        <f t="shared" si="85"/>
        <v>0</v>
      </c>
      <c r="AJ56" s="848">
        <f t="shared" si="85"/>
        <v>0</v>
      </c>
      <c r="AK56" s="848">
        <f t="shared" si="85"/>
        <v>0</v>
      </c>
      <c r="AL56" s="613">
        <f t="shared" si="85"/>
        <v>0</v>
      </c>
      <c r="AM56" s="612">
        <f t="shared" si="85"/>
        <v>3155082</v>
      </c>
      <c r="AN56" s="502">
        <f t="shared" si="85"/>
        <v>2340565</v>
      </c>
      <c r="AO56" s="549">
        <f t="shared" si="85"/>
        <v>0</v>
      </c>
      <c r="AP56" s="502">
        <f t="shared" si="85"/>
        <v>791111</v>
      </c>
      <c r="AQ56" s="502">
        <f t="shared" si="85"/>
        <v>23406</v>
      </c>
      <c r="AR56" s="502">
        <f t="shared" si="85"/>
        <v>0</v>
      </c>
      <c r="AS56" s="613">
        <f t="shared" si="85"/>
        <v>4</v>
      </c>
    </row>
    <row r="57" spans="1:45" ht="14.1" customHeight="1" x14ac:dyDescent="0.2">
      <c r="A57" s="499">
        <v>17</v>
      </c>
      <c r="B57" s="511">
        <v>2417</v>
      </c>
      <c r="C57" s="512">
        <v>600079562</v>
      </c>
      <c r="D57" s="511">
        <v>72742810</v>
      </c>
      <c r="E57" s="510" t="s">
        <v>550</v>
      </c>
      <c r="F57" s="499">
        <v>3111</v>
      </c>
      <c r="G57" s="510" t="s">
        <v>277</v>
      </c>
      <c r="H57" s="495" t="s">
        <v>262</v>
      </c>
      <c r="I57" s="610">
        <v>17277887</v>
      </c>
      <c r="J57" s="14">
        <v>12817424</v>
      </c>
      <c r="K57" s="14">
        <v>0</v>
      </c>
      <c r="L57" s="14">
        <v>4332289</v>
      </c>
      <c r="M57" s="14">
        <v>128174</v>
      </c>
      <c r="N57" s="14">
        <v>0</v>
      </c>
      <c r="O57" s="121">
        <v>21</v>
      </c>
      <c r="P57" s="676">
        <f t="shared" si="2"/>
        <v>0</v>
      </c>
      <c r="Q57" s="492">
        <v>0</v>
      </c>
      <c r="R57" s="492">
        <v>0</v>
      </c>
      <c r="S57" s="492">
        <v>0</v>
      </c>
      <c r="T57" s="492">
        <v>0</v>
      </c>
      <c r="U57" s="492">
        <v>0</v>
      </c>
      <c r="V57" s="492">
        <f>P57+Q57+R57+S57+T57+U57</f>
        <v>0</v>
      </c>
      <c r="W57" s="492">
        <v>0</v>
      </c>
      <c r="X57" s="492">
        <v>0</v>
      </c>
      <c r="Y57" s="492">
        <v>0</v>
      </c>
      <c r="Z57" s="492">
        <f t="shared" ref="Z57:Z59" si="86">W57+X57+Y57</f>
        <v>0</v>
      </c>
      <c r="AA57" s="492">
        <f t="shared" ref="AA57:AA59" si="87">V57+Z57</f>
        <v>0</v>
      </c>
      <c r="AB57" s="494">
        <f t="shared" ref="AB57:AB59" si="88">ROUND((V57+Z57)*33.8%,0)</f>
        <v>0</v>
      </c>
      <c r="AC57" s="494">
        <f>ROUND(V57*1%,0)</f>
        <v>0</v>
      </c>
      <c r="AD57" s="14">
        <v>0</v>
      </c>
      <c r="AE57" s="753">
        <f t="shared" si="6"/>
        <v>0</v>
      </c>
      <c r="AF57" s="858">
        <v>0</v>
      </c>
      <c r="AG57" s="491">
        <v>0</v>
      </c>
      <c r="AH57" s="491">
        <v>0</v>
      </c>
      <c r="AI57" s="491">
        <v>0</v>
      </c>
      <c r="AJ57" s="491">
        <v>0</v>
      </c>
      <c r="AK57" s="491">
        <v>0</v>
      </c>
      <c r="AL57" s="609">
        <f>SUM(AF57:AK57)</f>
        <v>0</v>
      </c>
      <c r="AM57" s="676">
        <f>I57+AE57</f>
        <v>17277887</v>
      </c>
      <c r="AN57" s="492">
        <f>J57+V57</f>
        <v>12817424</v>
      </c>
      <c r="AO57" s="492">
        <f t="shared" ref="AO57:AO59" si="89">K57+Z57</f>
        <v>0</v>
      </c>
      <c r="AP57" s="492">
        <f t="shared" ref="AP57:AR59" si="90">L57+AB57</f>
        <v>4332289</v>
      </c>
      <c r="AQ57" s="492">
        <f t="shared" si="90"/>
        <v>128174</v>
      </c>
      <c r="AR57" s="573">
        <f t="shared" si="90"/>
        <v>0</v>
      </c>
      <c r="AS57" s="609">
        <f>O57+AL57</f>
        <v>21</v>
      </c>
    </row>
    <row r="58" spans="1:45" ht="14.1" customHeight="1" x14ac:dyDescent="0.2">
      <c r="A58" s="499">
        <v>17</v>
      </c>
      <c r="B58" s="511">
        <v>2417</v>
      </c>
      <c r="C58" s="512">
        <v>600079562</v>
      </c>
      <c r="D58" s="511">
        <v>72742810</v>
      </c>
      <c r="E58" s="510" t="s">
        <v>550</v>
      </c>
      <c r="F58" s="499">
        <v>3111</v>
      </c>
      <c r="G58" s="39" t="s">
        <v>279</v>
      </c>
      <c r="H58" s="495" t="s">
        <v>262</v>
      </c>
      <c r="I58" s="610">
        <v>1922938</v>
      </c>
      <c r="J58" s="14">
        <v>1426512</v>
      </c>
      <c r="K58" s="14">
        <v>0</v>
      </c>
      <c r="L58" s="14">
        <v>482161</v>
      </c>
      <c r="M58" s="14">
        <v>14265</v>
      </c>
      <c r="N58" s="14">
        <v>0</v>
      </c>
      <c r="O58" s="121">
        <v>4</v>
      </c>
      <c r="P58" s="676">
        <f t="shared" si="2"/>
        <v>0</v>
      </c>
      <c r="Q58" s="492">
        <v>0</v>
      </c>
      <c r="R58" s="492">
        <v>0</v>
      </c>
      <c r="S58" s="492">
        <v>0</v>
      </c>
      <c r="T58" s="492">
        <v>0</v>
      </c>
      <c r="U58" s="492">
        <v>0</v>
      </c>
      <c r="V58" s="492">
        <f>P58+Q58+R58+S58+T58+U58</f>
        <v>0</v>
      </c>
      <c r="W58" s="492">
        <v>0</v>
      </c>
      <c r="X58" s="492">
        <v>0</v>
      </c>
      <c r="Y58" s="492">
        <v>0</v>
      </c>
      <c r="Z58" s="492">
        <f t="shared" si="86"/>
        <v>0</v>
      </c>
      <c r="AA58" s="492">
        <f t="shared" si="87"/>
        <v>0</v>
      </c>
      <c r="AB58" s="494">
        <f t="shared" si="88"/>
        <v>0</v>
      </c>
      <c r="AC58" s="494">
        <f>ROUND(V58*1%,0)</f>
        <v>0</v>
      </c>
      <c r="AD58" s="14">
        <v>0</v>
      </c>
      <c r="AE58" s="753">
        <f t="shared" si="6"/>
        <v>0</v>
      </c>
      <c r="AF58" s="858">
        <v>0</v>
      </c>
      <c r="AG58" s="491">
        <v>0</v>
      </c>
      <c r="AH58" s="491">
        <v>0</v>
      </c>
      <c r="AI58" s="491">
        <v>0</v>
      </c>
      <c r="AJ58" s="491">
        <v>0</v>
      </c>
      <c r="AK58" s="491">
        <v>0</v>
      </c>
      <c r="AL58" s="609">
        <f>SUM(AF58:AK58)</f>
        <v>0</v>
      </c>
      <c r="AM58" s="676">
        <f>I58+AE58</f>
        <v>1922938</v>
      </c>
      <c r="AN58" s="492">
        <f>J58+V58</f>
        <v>1426512</v>
      </c>
      <c r="AO58" s="492">
        <f t="shared" si="89"/>
        <v>0</v>
      </c>
      <c r="AP58" s="492">
        <f t="shared" si="90"/>
        <v>482161</v>
      </c>
      <c r="AQ58" s="492">
        <f t="shared" si="90"/>
        <v>14265</v>
      </c>
      <c r="AR58" s="573">
        <f t="shared" si="90"/>
        <v>0</v>
      </c>
      <c r="AS58" s="609">
        <f>O58+AL58</f>
        <v>4</v>
      </c>
    </row>
    <row r="59" spans="1:45" ht="14.1" customHeight="1" x14ac:dyDescent="0.2">
      <c r="A59" s="499">
        <v>17</v>
      </c>
      <c r="B59" s="511">
        <v>2417</v>
      </c>
      <c r="C59" s="512">
        <v>600079562</v>
      </c>
      <c r="D59" s="511">
        <v>72742810</v>
      </c>
      <c r="E59" s="510" t="s">
        <v>550</v>
      </c>
      <c r="F59" s="499">
        <v>3111</v>
      </c>
      <c r="G59" s="39" t="s">
        <v>278</v>
      </c>
      <c r="H59" s="495" t="s">
        <v>263</v>
      </c>
      <c r="I59" s="610">
        <v>0</v>
      </c>
      <c r="J59" s="490">
        <v>0</v>
      </c>
      <c r="K59" s="490">
        <v>0</v>
      </c>
      <c r="L59" s="14">
        <v>0</v>
      </c>
      <c r="M59" s="14">
        <v>0</v>
      </c>
      <c r="N59" s="14">
        <v>0</v>
      </c>
      <c r="O59" s="664">
        <v>0</v>
      </c>
      <c r="P59" s="676">
        <f t="shared" si="2"/>
        <v>0</v>
      </c>
      <c r="Q59" s="492">
        <v>0</v>
      </c>
      <c r="R59" s="492">
        <v>0</v>
      </c>
      <c r="S59" s="492">
        <v>0</v>
      </c>
      <c r="T59" s="492">
        <v>0</v>
      </c>
      <c r="U59" s="492">
        <v>0</v>
      </c>
      <c r="V59" s="492">
        <f>P59+Q59+R59+S59+T59+U59</f>
        <v>0</v>
      </c>
      <c r="W59" s="492">
        <v>0</v>
      </c>
      <c r="X59" s="492">
        <v>0</v>
      </c>
      <c r="Y59" s="492">
        <v>0</v>
      </c>
      <c r="Z59" s="492">
        <f t="shared" si="86"/>
        <v>0</v>
      </c>
      <c r="AA59" s="492">
        <f t="shared" si="87"/>
        <v>0</v>
      </c>
      <c r="AB59" s="494">
        <f t="shared" si="88"/>
        <v>0</v>
      </c>
      <c r="AC59" s="494">
        <f>ROUND(V59*1%,0)</f>
        <v>0</v>
      </c>
      <c r="AD59" s="14">
        <v>0</v>
      </c>
      <c r="AE59" s="753">
        <f t="shared" si="6"/>
        <v>0</v>
      </c>
      <c r="AF59" s="858">
        <v>0</v>
      </c>
      <c r="AG59" s="491">
        <v>0</v>
      </c>
      <c r="AH59" s="491">
        <v>0</v>
      </c>
      <c r="AI59" s="491">
        <v>0</v>
      </c>
      <c r="AJ59" s="491">
        <v>0</v>
      </c>
      <c r="AK59" s="491">
        <v>0</v>
      </c>
      <c r="AL59" s="609">
        <f>SUM(AF59:AK59)</f>
        <v>0</v>
      </c>
      <c r="AM59" s="676">
        <f>I59+AE59</f>
        <v>0</v>
      </c>
      <c r="AN59" s="492">
        <f>J59+V59</f>
        <v>0</v>
      </c>
      <c r="AO59" s="492">
        <f t="shared" si="89"/>
        <v>0</v>
      </c>
      <c r="AP59" s="492">
        <f t="shared" si="90"/>
        <v>0</v>
      </c>
      <c r="AQ59" s="492">
        <f t="shared" si="90"/>
        <v>0</v>
      </c>
      <c r="AR59" s="573">
        <f t="shared" si="90"/>
        <v>0</v>
      </c>
      <c r="AS59" s="609">
        <f>O59+AL59</f>
        <v>0</v>
      </c>
    </row>
    <row r="60" spans="1:45" ht="14.1" customHeight="1" x14ac:dyDescent="0.2">
      <c r="A60" s="509">
        <v>17</v>
      </c>
      <c r="B60" s="507">
        <v>2417</v>
      </c>
      <c r="C60" s="508">
        <v>600079562</v>
      </c>
      <c r="D60" s="507">
        <v>72742810</v>
      </c>
      <c r="E60" s="505" t="s">
        <v>551</v>
      </c>
      <c r="F60" s="509"/>
      <c r="G60" s="505"/>
      <c r="H60" s="504"/>
      <c r="I60" s="612">
        <v>19200825</v>
      </c>
      <c r="J60" s="503">
        <v>14243936</v>
      </c>
      <c r="K60" s="503">
        <v>0</v>
      </c>
      <c r="L60" s="503">
        <v>4814450</v>
      </c>
      <c r="M60" s="503">
        <v>142439</v>
      </c>
      <c r="N60" s="503">
        <v>0</v>
      </c>
      <c r="O60" s="837">
        <v>25</v>
      </c>
      <c r="P60" s="612">
        <f t="shared" ref="P60:AS60" si="91">SUM(P57:P59)</f>
        <v>0</v>
      </c>
      <c r="Q60" s="502">
        <f t="shared" si="91"/>
        <v>0</v>
      </c>
      <c r="R60" s="502">
        <f t="shared" si="91"/>
        <v>0</v>
      </c>
      <c r="S60" s="502">
        <f t="shared" si="91"/>
        <v>0</v>
      </c>
      <c r="T60" s="502">
        <f t="shared" si="91"/>
        <v>0</v>
      </c>
      <c r="U60" s="502">
        <f t="shared" si="91"/>
        <v>0</v>
      </c>
      <c r="V60" s="502">
        <f t="shared" si="91"/>
        <v>0</v>
      </c>
      <c r="W60" s="502">
        <f t="shared" si="91"/>
        <v>0</v>
      </c>
      <c r="X60" s="502">
        <f t="shared" si="91"/>
        <v>0</v>
      </c>
      <c r="Y60" s="502">
        <f t="shared" si="91"/>
        <v>0</v>
      </c>
      <c r="Z60" s="502">
        <f t="shared" si="91"/>
        <v>0</v>
      </c>
      <c r="AA60" s="502">
        <f t="shared" si="91"/>
        <v>0</v>
      </c>
      <c r="AB60" s="502">
        <f t="shared" si="91"/>
        <v>0</v>
      </c>
      <c r="AC60" s="502">
        <f t="shared" si="91"/>
        <v>0</v>
      </c>
      <c r="AD60" s="502">
        <f t="shared" si="91"/>
        <v>0</v>
      </c>
      <c r="AE60" s="852">
        <f t="shared" si="91"/>
        <v>0</v>
      </c>
      <c r="AF60" s="857">
        <f t="shared" si="91"/>
        <v>0</v>
      </c>
      <c r="AG60" s="848">
        <f t="shared" si="91"/>
        <v>0</v>
      </c>
      <c r="AH60" s="848">
        <f t="shared" si="91"/>
        <v>0</v>
      </c>
      <c r="AI60" s="848">
        <f t="shared" si="91"/>
        <v>0</v>
      </c>
      <c r="AJ60" s="848">
        <f t="shared" si="91"/>
        <v>0</v>
      </c>
      <c r="AK60" s="848">
        <f t="shared" si="91"/>
        <v>0</v>
      </c>
      <c r="AL60" s="613">
        <f t="shared" si="91"/>
        <v>0</v>
      </c>
      <c r="AM60" s="612">
        <f t="shared" si="91"/>
        <v>19200825</v>
      </c>
      <c r="AN60" s="502">
        <f t="shared" si="91"/>
        <v>14243936</v>
      </c>
      <c r="AO60" s="549">
        <f t="shared" si="91"/>
        <v>0</v>
      </c>
      <c r="AP60" s="502">
        <f t="shared" si="91"/>
        <v>4814450</v>
      </c>
      <c r="AQ60" s="502">
        <f t="shared" si="91"/>
        <v>142439</v>
      </c>
      <c r="AR60" s="502">
        <f t="shared" si="91"/>
        <v>0</v>
      </c>
      <c r="AS60" s="613">
        <f t="shared" si="91"/>
        <v>25</v>
      </c>
    </row>
    <row r="61" spans="1:45" ht="14.1" customHeight="1" x14ac:dyDescent="0.2">
      <c r="A61" s="499">
        <v>18</v>
      </c>
      <c r="B61" s="511">
        <v>2416</v>
      </c>
      <c r="C61" s="512">
        <v>600079571</v>
      </c>
      <c r="D61" s="511">
        <v>72742895</v>
      </c>
      <c r="E61" s="510" t="s">
        <v>552</v>
      </c>
      <c r="F61" s="499">
        <v>3111</v>
      </c>
      <c r="G61" s="510" t="s">
        <v>277</v>
      </c>
      <c r="H61" s="495" t="s">
        <v>262</v>
      </c>
      <c r="I61" s="610">
        <v>5308189</v>
      </c>
      <c r="J61" s="14">
        <v>3937826</v>
      </c>
      <c r="K61" s="14">
        <v>0</v>
      </c>
      <c r="L61" s="14">
        <v>1330985</v>
      </c>
      <c r="M61" s="14">
        <v>39378</v>
      </c>
      <c r="N61" s="14">
        <v>0</v>
      </c>
      <c r="O61" s="121">
        <v>6.5644999999999998</v>
      </c>
      <c r="P61" s="676">
        <f t="shared" si="2"/>
        <v>0</v>
      </c>
      <c r="Q61" s="492">
        <v>0</v>
      </c>
      <c r="R61" s="492">
        <v>0</v>
      </c>
      <c r="S61" s="492">
        <v>0</v>
      </c>
      <c r="T61" s="492">
        <v>0</v>
      </c>
      <c r="U61" s="492">
        <v>0</v>
      </c>
      <c r="V61" s="492">
        <f>P61+Q61+R61+S61+T61+U61</f>
        <v>0</v>
      </c>
      <c r="W61" s="492">
        <v>0</v>
      </c>
      <c r="X61" s="492">
        <v>0</v>
      </c>
      <c r="Y61" s="492">
        <v>0</v>
      </c>
      <c r="Z61" s="492">
        <f t="shared" ref="Z61:Z62" si="92">W61+X61+Y61</f>
        <v>0</v>
      </c>
      <c r="AA61" s="492">
        <f t="shared" ref="AA61:AA62" si="93">V61+Z61</f>
        <v>0</v>
      </c>
      <c r="AB61" s="494">
        <f t="shared" ref="AB61:AB62" si="94">ROUND((V61+Z61)*33.8%,0)</f>
        <v>0</v>
      </c>
      <c r="AC61" s="494">
        <f>ROUND(V61*1%,0)</f>
        <v>0</v>
      </c>
      <c r="AD61" s="14">
        <v>0</v>
      </c>
      <c r="AE61" s="753">
        <f t="shared" si="6"/>
        <v>0</v>
      </c>
      <c r="AF61" s="858">
        <v>0</v>
      </c>
      <c r="AG61" s="491">
        <v>0</v>
      </c>
      <c r="AH61" s="491">
        <v>0</v>
      </c>
      <c r="AI61" s="491">
        <v>0</v>
      </c>
      <c r="AJ61" s="491">
        <v>0</v>
      </c>
      <c r="AK61" s="491">
        <v>0</v>
      </c>
      <c r="AL61" s="609">
        <f>SUM(AF61:AK61)</f>
        <v>0</v>
      </c>
      <c r="AM61" s="676">
        <f>I61+AE61</f>
        <v>5308189</v>
      </c>
      <c r="AN61" s="492">
        <f>J61+V61</f>
        <v>3937826</v>
      </c>
      <c r="AO61" s="492">
        <f t="shared" ref="AO61:AO62" si="95">K61+Z61</f>
        <v>0</v>
      </c>
      <c r="AP61" s="492">
        <f t="shared" ref="AP61:AR62" si="96">L61+AB61</f>
        <v>1330985</v>
      </c>
      <c r="AQ61" s="492">
        <f t="shared" si="96"/>
        <v>39378</v>
      </c>
      <c r="AR61" s="573">
        <f t="shared" si="96"/>
        <v>0</v>
      </c>
      <c r="AS61" s="609">
        <f>O61+AL61</f>
        <v>6.5644999999999998</v>
      </c>
    </row>
    <row r="62" spans="1:45" ht="14.1" customHeight="1" x14ac:dyDescent="0.2">
      <c r="A62" s="499">
        <v>18</v>
      </c>
      <c r="B62" s="511">
        <v>2416</v>
      </c>
      <c r="C62" s="512">
        <v>600079571</v>
      </c>
      <c r="D62" s="511">
        <v>72742895</v>
      </c>
      <c r="E62" s="510" t="s">
        <v>552</v>
      </c>
      <c r="F62" s="499">
        <v>3111</v>
      </c>
      <c r="G62" s="39" t="s">
        <v>279</v>
      </c>
      <c r="H62" s="495" t="s">
        <v>262</v>
      </c>
      <c r="I62" s="610">
        <v>967181</v>
      </c>
      <c r="J62" s="14">
        <v>717493</v>
      </c>
      <c r="K62" s="14">
        <v>0</v>
      </c>
      <c r="L62" s="14">
        <v>242513</v>
      </c>
      <c r="M62" s="14">
        <v>7175</v>
      </c>
      <c r="N62" s="14">
        <v>0</v>
      </c>
      <c r="O62" s="121">
        <v>1.9</v>
      </c>
      <c r="P62" s="676">
        <f t="shared" si="2"/>
        <v>0</v>
      </c>
      <c r="Q62" s="492">
        <v>0</v>
      </c>
      <c r="R62" s="492">
        <v>0</v>
      </c>
      <c r="S62" s="492">
        <v>0</v>
      </c>
      <c r="T62" s="492">
        <v>0</v>
      </c>
      <c r="U62" s="492">
        <v>0</v>
      </c>
      <c r="V62" s="492">
        <f>P62+Q62+R62+S62+T62+U62</f>
        <v>0</v>
      </c>
      <c r="W62" s="492">
        <v>0</v>
      </c>
      <c r="X62" s="492">
        <v>0</v>
      </c>
      <c r="Y62" s="492">
        <v>0</v>
      </c>
      <c r="Z62" s="492">
        <f t="shared" si="92"/>
        <v>0</v>
      </c>
      <c r="AA62" s="492">
        <f t="shared" si="93"/>
        <v>0</v>
      </c>
      <c r="AB62" s="494">
        <f t="shared" si="94"/>
        <v>0</v>
      </c>
      <c r="AC62" s="494">
        <f>ROUND(V62*1%,0)</f>
        <v>0</v>
      </c>
      <c r="AD62" s="14">
        <v>0</v>
      </c>
      <c r="AE62" s="753">
        <f t="shared" si="6"/>
        <v>0</v>
      </c>
      <c r="AF62" s="858">
        <v>0</v>
      </c>
      <c r="AG62" s="491">
        <v>0</v>
      </c>
      <c r="AH62" s="491">
        <v>0</v>
      </c>
      <c r="AI62" s="491">
        <v>0</v>
      </c>
      <c r="AJ62" s="491">
        <v>0</v>
      </c>
      <c r="AK62" s="491">
        <v>0</v>
      </c>
      <c r="AL62" s="609">
        <f>SUM(AF62:AK62)</f>
        <v>0</v>
      </c>
      <c r="AM62" s="676">
        <f>I62+AE62</f>
        <v>967181</v>
      </c>
      <c r="AN62" s="492">
        <f>J62+V62</f>
        <v>717493</v>
      </c>
      <c r="AO62" s="492">
        <f t="shared" si="95"/>
        <v>0</v>
      </c>
      <c r="AP62" s="492">
        <f t="shared" si="96"/>
        <v>242513</v>
      </c>
      <c r="AQ62" s="492">
        <f t="shared" si="96"/>
        <v>7175</v>
      </c>
      <c r="AR62" s="573">
        <f t="shared" si="96"/>
        <v>0</v>
      </c>
      <c r="AS62" s="609">
        <f>O62+AL62</f>
        <v>1.9</v>
      </c>
    </row>
    <row r="63" spans="1:45" ht="14.1" customHeight="1" x14ac:dyDescent="0.2">
      <c r="A63" s="509">
        <v>18</v>
      </c>
      <c r="B63" s="507">
        <v>2416</v>
      </c>
      <c r="C63" s="508">
        <v>600079571</v>
      </c>
      <c r="D63" s="507">
        <v>72742895</v>
      </c>
      <c r="E63" s="505" t="s">
        <v>553</v>
      </c>
      <c r="F63" s="509"/>
      <c r="G63" s="505"/>
      <c r="H63" s="504"/>
      <c r="I63" s="612">
        <v>6275370</v>
      </c>
      <c r="J63" s="503">
        <v>4655319</v>
      </c>
      <c r="K63" s="503">
        <v>0</v>
      </c>
      <c r="L63" s="503">
        <v>1573498</v>
      </c>
      <c r="M63" s="503">
        <v>46553</v>
      </c>
      <c r="N63" s="503">
        <v>0</v>
      </c>
      <c r="O63" s="837">
        <v>8.4644999999999992</v>
      </c>
      <c r="P63" s="612">
        <f t="shared" ref="P63:AS63" si="97">SUM(P61:P62)</f>
        <v>0</v>
      </c>
      <c r="Q63" s="502">
        <f t="shared" si="97"/>
        <v>0</v>
      </c>
      <c r="R63" s="502">
        <f t="shared" si="97"/>
        <v>0</v>
      </c>
      <c r="S63" s="502">
        <f t="shared" si="97"/>
        <v>0</v>
      </c>
      <c r="T63" s="502">
        <f t="shared" si="97"/>
        <v>0</v>
      </c>
      <c r="U63" s="502">
        <f t="shared" si="97"/>
        <v>0</v>
      </c>
      <c r="V63" s="502">
        <f t="shared" si="97"/>
        <v>0</v>
      </c>
      <c r="W63" s="502">
        <f t="shared" si="97"/>
        <v>0</v>
      </c>
      <c r="X63" s="502">
        <f t="shared" si="97"/>
        <v>0</v>
      </c>
      <c r="Y63" s="502">
        <f t="shared" si="97"/>
        <v>0</v>
      </c>
      <c r="Z63" s="502">
        <f t="shared" si="97"/>
        <v>0</v>
      </c>
      <c r="AA63" s="502">
        <f t="shared" si="97"/>
        <v>0</v>
      </c>
      <c r="AB63" s="502">
        <f t="shared" si="97"/>
        <v>0</v>
      </c>
      <c r="AC63" s="502">
        <f t="shared" si="97"/>
        <v>0</v>
      </c>
      <c r="AD63" s="502">
        <f t="shared" si="97"/>
        <v>0</v>
      </c>
      <c r="AE63" s="852">
        <f t="shared" si="97"/>
        <v>0</v>
      </c>
      <c r="AF63" s="857">
        <f t="shared" si="97"/>
        <v>0</v>
      </c>
      <c r="AG63" s="848">
        <f t="shared" si="97"/>
        <v>0</v>
      </c>
      <c r="AH63" s="848">
        <f t="shared" si="97"/>
        <v>0</v>
      </c>
      <c r="AI63" s="848">
        <f t="shared" si="97"/>
        <v>0</v>
      </c>
      <c r="AJ63" s="848">
        <f t="shared" si="97"/>
        <v>0</v>
      </c>
      <c r="AK63" s="848">
        <f t="shared" si="97"/>
        <v>0</v>
      </c>
      <c r="AL63" s="613">
        <f t="shared" si="97"/>
        <v>0</v>
      </c>
      <c r="AM63" s="612">
        <f t="shared" si="97"/>
        <v>6275370</v>
      </c>
      <c r="AN63" s="502">
        <f t="shared" si="97"/>
        <v>4655319</v>
      </c>
      <c r="AO63" s="549">
        <f t="shared" si="97"/>
        <v>0</v>
      </c>
      <c r="AP63" s="502">
        <f t="shared" si="97"/>
        <v>1573498</v>
      </c>
      <c r="AQ63" s="502">
        <f t="shared" si="97"/>
        <v>46553</v>
      </c>
      <c r="AR63" s="502">
        <f t="shared" si="97"/>
        <v>0</v>
      </c>
      <c r="AS63" s="613">
        <f t="shared" si="97"/>
        <v>8.4644999999999992</v>
      </c>
    </row>
    <row r="64" spans="1:45" ht="14.1" customHeight="1" x14ac:dyDescent="0.2">
      <c r="A64" s="499">
        <v>19</v>
      </c>
      <c r="B64" s="511">
        <v>2421</v>
      </c>
      <c r="C64" s="512">
        <v>600079163</v>
      </c>
      <c r="D64" s="511">
        <v>72743301</v>
      </c>
      <c r="E64" s="510" t="s">
        <v>554</v>
      </c>
      <c r="F64" s="499">
        <v>3111</v>
      </c>
      <c r="G64" s="510" t="s">
        <v>277</v>
      </c>
      <c r="H64" s="495" t="s">
        <v>262</v>
      </c>
      <c r="I64" s="610">
        <v>10371380</v>
      </c>
      <c r="J64" s="14">
        <v>7693902</v>
      </c>
      <c r="K64" s="14">
        <v>0</v>
      </c>
      <c r="L64" s="14">
        <v>2600539</v>
      </c>
      <c r="M64" s="14">
        <v>76939</v>
      </c>
      <c r="N64" s="14">
        <v>0</v>
      </c>
      <c r="O64" s="121">
        <v>12.2532</v>
      </c>
      <c r="P64" s="676">
        <f t="shared" si="2"/>
        <v>0</v>
      </c>
      <c r="Q64" s="492">
        <v>0</v>
      </c>
      <c r="R64" s="492">
        <v>0</v>
      </c>
      <c r="S64" s="492">
        <v>0</v>
      </c>
      <c r="T64" s="492">
        <v>0</v>
      </c>
      <c r="U64" s="492">
        <v>0</v>
      </c>
      <c r="V64" s="492">
        <f>P64+Q64+R64+S64+T64+U64</f>
        <v>0</v>
      </c>
      <c r="W64" s="492">
        <v>0</v>
      </c>
      <c r="X64" s="492">
        <v>0</v>
      </c>
      <c r="Y64" s="492">
        <v>0</v>
      </c>
      <c r="Z64" s="492">
        <f t="shared" ref="Z64:Z65" si="98">W64+X64+Y64</f>
        <v>0</v>
      </c>
      <c r="AA64" s="492">
        <f t="shared" ref="AA64:AA65" si="99">V64+Z64</f>
        <v>0</v>
      </c>
      <c r="AB64" s="494">
        <f t="shared" ref="AB64:AB65" si="100">ROUND((V64+Z64)*33.8%,0)</f>
        <v>0</v>
      </c>
      <c r="AC64" s="494">
        <f>ROUND(V64*1%,0)</f>
        <v>0</v>
      </c>
      <c r="AD64" s="14">
        <v>0</v>
      </c>
      <c r="AE64" s="753">
        <f t="shared" si="6"/>
        <v>0</v>
      </c>
      <c r="AF64" s="858">
        <v>0</v>
      </c>
      <c r="AG64" s="491">
        <v>0</v>
      </c>
      <c r="AH64" s="491">
        <v>0</v>
      </c>
      <c r="AI64" s="491">
        <v>0</v>
      </c>
      <c r="AJ64" s="491">
        <v>0</v>
      </c>
      <c r="AK64" s="491">
        <v>0</v>
      </c>
      <c r="AL64" s="609">
        <f>SUM(AF64:AK64)</f>
        <v>0</v>
      </c>
      <c r="AM64" s="676">
        <f>I64+AE64</f>
        <v>10371380</v>
      </c>
      <c r="AN64" s="492">
        <f>J64+V64</f>
        <v>7693902</v>
      </c>
      <c r="AO64" s="492">
        <f t="shared" ref="AO64:AO65" si="101">K64+Z64</f>
        <v>0</v>
      </c>
      <c r="AP64" s="492">
        <f t="shared" ref="AP64:AR65" si="102">L64+AB64</f>
        <v>2600539</v>
      </c>
      <c r="AQ64" s="492">
        <f t="shared" si="102"/>
        <v>76939</v>
      </c>
      <c r="AR64" s="573">
        <f t="shared" si="102"/>
        <v>0</v>
      </c>
      <c r="AS64" s="609">
        <f>O64+AL64</f>
        <v>12.2532</v>
      </c>
    </row>
    <row r="65" spans="1:45" ht="14.1" customHeight="1" x14ac:dyDescent="0.2">
      <c r="A65" s="499">
        <v>19</v>
      </c>
      <c r="B65" s="511">
        <v>2421</v>
      </c>
      <c r="C65" s="512">
        <v>600079163</v>
      </c>
      <c r="D65" s="511">
        <v>72743301</v>
      </c>
      <c r="E65" s="510" t="s">
        <v>554</v>
      </c>
      <c r="F65" s="499">
        <v>3111</v>
      </c>
      <c r="G65" s="39" t="s">
        <v>278</v>
      </c>
      <c r="H65" s="495" t="s">
        <v>263</v>
      </c>
      <c r="I65" s="610">
        <v>1010466</v>
      </c>
      <c r="J65" s="490">
        <v>749604</v>
      </c>
      <c r="K65" s="490">
        <v>0</v>
      </c>
      <c r="L65" s="14">
        <v>253366</v>
      </c>
      <c r="M65" s="14">
        <v>7496</v>
      </c>
      <c r="N65" s="14">
        <v>0</v>
      </c>
      <c r="O65" s="664">
        <v>1.8900000000000001</v>
      </c>
      <c r="P65" s="676">
        <f t="shared" si="2"/>
        <v>0</v>
      </c>
      <c r="Q65" s="492">
        <v>0</v>
      </c>
      <c r="R65" s="492">
        <v>0</v>
      </c>
      <c r="S65" s="492">
        <v>0</v>
      </c>
      <c r="T65" s="492">
        <v>0</v>
      </c>
      <c r="U65" s="492">
        <v>0</v>
      </c>
      <c r="V65" s="492">
        <f>P65+Q65+R65+S65+T65+U65</f>
        <v>0</v>
      </c>
      <c r="W65" s="492">
        <v>0</v>
      </c>
      <c r="X65" s="492">
        <v>0</v>
      </c>
      <c r="Y65" s="492">
        <v>0</v>
      </c>
      <c r="Z65" s="492">
        <f t="shared" si="98"/>
        <v>0</v>
      </c>
      <c r="AA65" s="492">
        <f t="shared" si="99"/>
        <v>0</v>
      </c>
      <c r="AB65" s="494">
        <f t="shared" si="100"/>
        <v>0</v>
      </c>
      <c r="AC65" s="494">
        <f>ROUND(V65*1%,0)</f>
        <v>0</v>
      </c>
      <c r="AD65" s="14">
        <v>0</v>
      </c>
      <c r="AE65" s="753">
        <f t="shared" si="6"/>
        <v>0</v>
      </c>
      <c r="AF65" s="858">
        <v>0</v>
      </c>
      <c r="AG65" s="491">
        <v>0</v>
      </c>
      <c r="AH65" s="491">
        <v>0</v>
      </c>
      <c r="AI65" s="491">
        <v>0</v>
      </c>
      <c r="AJ65" s="491">
        <v>0</v>
      </c>
      <c r="AK65" s="491">
        <v>0</v>
      </c>
      <c r="AL65" s="609">
        <f>SUM(AF65:AK65)</f>
        <v>0</v>
      </c>
      <c r="AM65" s="676">
        <f>I65+AE65</f>
        <v>1010466</v>
      </c>
      <c r="AN65" s="492">
        <f>J65+V65</f>
        <v>749604</v>
      </c>
      <c r="AO65" s="492">
        <f t="shared" si="101"/>
        <v>0</v>
      </c>
      <c r="AP65" s="492">
        <f t="shared" si="102"/>
        <v>253366</v>
      </c>
      <c r="AQ65" s="492">
        <f t="shared" si="102"/>
        <v>7496</v>
      </c>
      <c r="AR65" s="573">
        <f t="shared" si="102"/>
        <v>0</v>
      </c>
      <c r="AS65" s="609">
        <f>O65+AL65</f>
        <v>1.8900000000000001</v>
      </c>
    </row>
    <row r="66" spans="1:45" ht="14.1" customHeight="1" x14ac:dyDescent="0.2">
      <c r="A66" s="509">
        <v>19</v>
      </c>
      <c r="B66" s="507">
        <v>2421</v>
      </c>
      <c r="C66" s="508">
        <v>600079163</v>
      </c>
      <c r="D66" s="507">
        <v>72743301</v>
      </c>
      <c r="E66" s="505" t="s">
        <v>555</v>
      </c>
      <c r="F66" s="509"/>
      <c r="G66" s="505"/>
      <c r="H66" s="504"/>
      <c r="I66" s="612">
        <v>11381846</v>
      </c>
      <c r="J66" s="503">
        <v>8443506</v>
      </c>
      <c r="K66" s="503">
        <v>0</v>
      </c>
      <c r="L66" s="503">
        <v>2853905</v>
      </c>
      <c r="M66" s="503">
        <v>84435</v>
      </c>
      <c r="N66" s="503">
        <v>0</v>
      </c>
      <c r="O66" s="837">
        <v>14.1432</v>
      </c>
      <c r="P66" s="612">
        <f t="shared" ref="P66:AS66" si="103">SUM(P64:P65)</f>
        <v>0</v>
      </c>
      <c r="Q66" s="502">
        <f t="shared" si="103"/>
        <v>0</v>
      </c>
      <c r="R66" s="502">
        <f t="shared" si="103"/>
        <v>0</v>
      </c>
      <c r="S66" s="502">
        <f t="shared" si="103"/>
        <v>0</v>
      </c>
      <c r="T66" s="502">
        <f t="shared" si="103"/>
        <v>0</v>
      </c>
      <c r="U66" s="502">
        <f t="shared" si="103"/>
        <v>0</v>
      </c>
      <c r="V66" s="502">
        <f t="shared" si="103"/>
        <v>0</v>
      </c>
      <c r="W66" s="502">
        <f t="shared" si="103"/>
        <v>0</v>
      </c>
      <c r="X66" s="502">
        <f t="shared" si="103"/>
        <v>0</v>
      </c>
      <c r="Y66" s="502">
        <f t="shared" si="103"/>
        <v>0</v>
      </c>
      <c r="Z66" s="502">
        <f t="shared" si="103"/>
        <v>0</v>
      </c>
      <c r="AA66" s="502">
        <f t="shared" si="103"/>
        <v>0</v>
      </c>
      <c r="AB66" s="502">
        <f t="shared" si="103"/>
        <v>0</v>
      </c>
      <c r="AC66" s="502">
        <f t="shared" si="103"/>
        <v>0</v>
      </c>
      <c r="AD66" s="502">
        <f t="shared" si="103"/>
        <v>0</v>
      </c>
      <c r="AE66" s="852">
        <f t="shared" si="103"/>
        <v>0</v>
      </c>
      <c r="AF66" s="857">
        <f t="shared" si="103"/>
        <v>0</v>
      </c>
      <c r="AG66" s="848">
        <f t="shared" si="103"/>
        <v>0</v>
      </c>
      <c r="AH66" s="848">
        <f t="shared" si="103"/>
        <v>0</v>
      </c>
      <c r="AI66" s="848">
        <f t="shared" si="103"/>
        <v>0</v>
      </c>
      <c r="AJ66" s="848">
        <f t="shared" si="103"/>
        <v>0</v>
      </c>
      <c r="AK66" s="848">
        <f t="shared" si="103"/>
        <v>0</v>
      </c>
      <c r="AL66" s="613">
        <f t="shared" si="103"/>
        <v>0</v>
      </c>
      <c r="AM66" s="612">
        <f t="shared" si="103"/>
        <v>11381846</v>
      </c>
      <c r="AN66" s="502">
        <f t="shared" si="103"/>
        <v>8443506</v>
      </c>
      <c r="AO66" s="549">
        <f t="shared" si="103"/>
        <v>0</v>
      </c>
      <c r="AP66" s="502">
        <f t="shared" si="103"/>
        <v>2853905</v>
      </c>
      <c r="AQ66" s="502">
        <f t="shared" si="103"/>
        <v>84435</v>
      </c>
      <c r="AR66" s="502">
        <f t="shared" si="103"/>
        <v>0</v>
      </c>
      <c r="AS66" s="613">
        <f t="shared" si="103"/>
        <v>14.1432</v>
      </c>
    </row>
    <row r="67" spans="1:45" ht="14.1" customHeight="1" x14ac:dyDescent="0.2">
      <c r="A67" s="499">
        <v>20</v>
      </c>
      <c r="B67" s="511">
        <v>2419</v>
      </c>
      <c r="C67" s="512">
        <v>600079171</v>
      </c>
      <c r="D67" s="511">
        <v>72742500</v>
      </c>
      <c r="E67" s="510" t="s">
        <v>556</v>
      </c>
      <c r="F67" s="499">
        <v>3111</v>
      </c>
      <c r="G67" s="510" t="s">
        <v>277</v>
      </c>
      <c r="H67" s="495" t="s">
        <v>262</v>
      </c>
      <c r="I67" s="610">
        <v>5156944</v>
      </c>
      <c r="J67" s="14">
        <v>3825626</v>
      </c>
      <c r="K67" s="14">
        <v>0</v>
      </c>
      <c r="L67" s="14">
        <v>1293062</v>
      </c>
      <c r="M67" s="14">
        <v>38256</v>
      </c>
      <c r="N67" s="14">
        <v>0</v>
      </c>
      <c r="O67" s="121">
        <v>6.2419000000000002</v>
      </c>
      <c r="P67" s="676">
        <f t="shared" si="2"/>
        <v>0</v>
      </c>
      <c r="Q67" s="492">
        <v>0</v>
      </c>
      <c r="R67" s="492">
        <v>0</v>
      </c>
      <c r="S67" s="492">
        <v>0</v>
      </c>
      <c r="T67" s="492">
        <v>0</v>
      </c>
      <c r="U67" s="492">
        <v>0</v>
      </c>
      <c r="V67" s="492">
        <f>P67+Q67+R67+S67+T67+U67</f>
        <v>0</v>
      </c>
      <c r="W67" s="492">
        <v>0</v>
      </c>
      <c r="X67" s="492">
        <v>0</v>
      </c>
      <c r="Y67" s="492">
        <v>0</v>
      </c>
      <c r="Z67" s="492">
        <f t="shared" ref="Z67:Z68" si="104">W67+X67+Y67</f>
        <v>0</v>
      </c>
      <c r="AA67" s="492">
        <f t="shared" ref="AA67:AA68" si="105">V67+Z67</f>
        <v>0</v>
      </c>
      <c r="AB67" s="494">
        <f t="shared" ref="AB67:AB68" si="106">ROUND((V67+Z67)*33.8%,0)</f>
        <v>0</v>
      </c>
      <c r="AC67" s="494">
        <f>ROUND(V67*1%,0)</f>
        <v>0</v>
      </c>
      <c r="AD67" s="14">
        <v>0</v>
      </c>
      <c r="AE67" s="753">
        <f t="shared" si="6"/>
        <v>0</v>
      </c>
      <c r="AF67" s="858">
        <v>0</v>
      </c>
      <c r="AG67" s="491">
        <v>0</v>
      </c>
      <c r="AH67" s="491">
        <v>0</v>
      </c>
      <c r="AI67" s="491">
        <v>0</v>
      </c>
      <c r="AJ67" s="491">
        <v>0</v>
      </c>
      <c r="AK67" s="491">
        <v>0</v>
      </c>
      <c r="AL67" s="609">
        <f>SUM(AF67:AK67)</f>
        <v>0</v>
      </c>
      <c r="AM67" s="676">
        <f>I67+AE67</f>
        <v>5156944</v>
      </c>
      <c r="AN67" s="492">
        <f>J67+V67</f>
        <v>3825626</v>
      </c>
      <c r="AO67" s="492">
        <f t="shared" ref="AO67:AO68" si="107">K67+Z67</f>
        <v>0</v>
      </c>
      <c r="AP67" s="492">
        <f t="shared" ref="AP67:AR68" si="108">L67+AB67</f>
        <v>1293062</v>
      </c>
      <c r="AQ67" s="492">
        <f t="shared" si="108"/>
        <v>38256</v>
      </c>
      <c r="AR67" s="573">
        <f t="shared" si="108"/>
        <v>0</v>
      </c>
      <c r="AS67" s="609">
        <f>O67+AL67</f>
        <v>6.2419000000000002</v>
      </c>
    </row>
    <row r="68" spans="1:45" ht="14.1" customHeight="1" x14ac:dyDescent="0.2">
      <c r="A68" s="499">
        <v>20</v>
      </c>
      <c r="B68" s="511">
        <v>2419</v>
      </c>
      <c r="C68" s="512">
        <v>600079171</v>
      </c>
      <c r="D68" s="511">
        <v>72742500</v>
      </c>
      <c r="E68" s="510" t="s">
        <v>556</v>
      </c>
      <c r="F68" s="499">
        <v>3111</v>
      </c>
      <c r="G68" s="39" t="s">
        <v>278</v>
      </c>
      <c r="H68" s="495" t="s">
        <v>263</v>
      </c>
      <c r="I68" s="610">
        <v>0</v>
      </c>
      <c r="J68" s="490">
        <v>0</v>
      </c>
      <c r="K68" s="490">
        <v>0</v>
      </c>
      <c r="L68" s="14">
        <v>0</v>
      </c>
      <c r="M68" s="14">
        <v>0</v>
      </c>
      <c r="N68" s="14">
        <v>0</v>
      </c>
      <c r="O68" s="664">
        <v>0</v>
      </c>
      <c r="P68" s="676">
        <f t="shared" si="2"/>
        <v>0</v>
      </c>
      <c r="Q68" s="492">
        <v>0</v>
      </c>
      <c r="R68" s="492">
        <v>0</v>
      </c>
      <c r="S68" s="492">
        <v>0</v>
      </c>
      <c r="T68" s="492">
        <v>0</v>
      </c>
      <c r="U68" s="492">
        <v>0</v>
      </c>
      <c r="V68" s="492">
        <f>P68+Q68+R68+S68+T68+U68</f>
        <v>0</v>
      </c>
      <c r="W68" s="492">
        <v>0</v>
      </c>
      <c r="X68" s="492">
        <v>0</v>
      </c>
      <c r="Y68" s="492">
        <v>0</v>
      </c>
      <c r="Z68" s="492">
        <f t="shared" si="104"/>
        <v>0</v>
      </c>
      <c r="AA68" s="492">
        <f t="shared" si="105"/>
        <v>0</v>
      </c>
      <c r="AB68" s="494">
        <f t="shared" si="106"/>
        <v>0</v>
      </c>
      <c r="AC68" s="494">
        <f>ROUND(V68*1%,0)</f>
        <v>0</v>
      </c>
      <c r="AD68" s="14">
        <v>0</v>
      </c>
      <c r="AE68" s="753">
        <f t="shared" si="6"/>
        <v>0</v>
      </c>
      <c r="AF68" s="858">
        <v>0</v>
      </c>
      <c r="AG68" s="491">
        <v>0</v>
      </c>
      <c r="AH68" s="491">
        <v>0</v>
      </c>
      <c r="AI68" s="491">
        <v>0</v>
      </c>
      <c r="AJ68" s="491">
        <v>0</v>
      </c>
      <c r="AK68" s="491">
        <v>0</v>
      </c>
      <c r="AL68" s="609">
        <f>SUM(AF68:AK68)</f>
        <v>0</v>
      </c>
      <c r="AM68" s="676">
        <f>I68+AE68</f>
        <v>0</v>
      </c>
      <c r="AN68" s="492">
        <f>J68+V68</f>
        <v>0</v>
      </c>
      <c r="AO68" s="492">
        <f t="shared" si="107"/>
        <v>0</v>
      </c>
      <c r="AP68" s="492">
        <f t="shared" si="108"/>
        <v>0</v>
      </c>
      <c r="AQ68" s="492">
        <f t="shared" si="108"/>
        <v>0</v>
      </c>
      <c r="AR68" s="573">
        <f t="shared" si="108"/>
        <v>0</v>
      </c>
      <c r="AS68" s="609">
        <f>O68+AL68</f>
        <v>0</v>
      </c>
    </row>
    <row r="69" spans="1:45" ht="14.1" customHeight="1" x14ac:dyDescent="0.2">
      <c r="A69" s="509">
        <v>20</v>
      </c>
      <c r="B69" s="507">
        <v>2419</v>
      </c>
      <c r="C69" s="508">
        <v>600079171</v>
      </c>
      <c r="D69" s="507">
        <v>72742500</v>
      </c>
      <c r="E69" s="505" t="s">
        <v>557</v>
      </c>
      <c r="F69" s="509"/>
      <c r="G69" s="505"/>
      <c r="H69" s="504"/>
      <c r="I69" s="612">
        <v>5156944</v>
      </c>
      <c r="J69" s="503">
        <v>3825626</v>
      </c>
      <c r="K69" s="503">
        <v>0</v>
      </c>
      <c r="L69" s="503">
        <v>1293062</v>
      </c>
      <c r="M69" s="503">
        <v>38256</v>
      </c>
      <c r="N69" s="503">
        <v>0</v>
      </c>
      <c r="O69" s="837">
        <v>6.2419000000000002</v>
      </c>
      <c r="P69" s="612">
        <f t="shared" ref="P69:AS69" si="109">SUM(P67:P68)</f>
        <v>0</v>
      </c>
      <c r="Q69" s="502">
        <f t="shared" si="109"/>
        <v>0</v>
      </c>
      <c r="R69" s="502">
        <f t="shared" si="109"/>
        <v>0</v>
      </c>
      <c r="S69" s="502">
        <f t="shared" si="109"/>
        <v>0</v>
      </c>
      <c r="T69" s="502">
        <f t="shared" si="109"/>
        <v>0</v>
      </c>
      <c r="U69" s="502">
        <f t="shared" si="109"/>
        <v>0</v>
      </c>
      <c r="V69" s="502">
        <f t="shared" si="109"/>
        <v>0</v>
      </c>
      <c r="W69" s="502">
        <f t="shared" si="109"/>
        <v>0</v>
      </c>
      <c r="X69" s="502">
        <f t="shared" si="109"/>
        <v>0</v>
      </c>
      <c r="Y69" s="502">
        <f t="shared" si="109"/>
        <v>0</v>
      </c>
      <c r="Z69" s="502">
        <f t="shared" si="109"/>
        <v>0</v>
      </c>
      <c r="AA69" s="502">
        <f t="shared" si="109"/>
        <v>0</v>
      </c>
      <c r="AB69" s="502">
        <f t="shared" si="109"/>
        <v>0</v>
      </c>
      <c r="AC69" s="502">
        <f t="shared" si="109"/>
        <v>0</v>
      </c>
      <c r="AD69" s="502">
        <f t="shared" si="109"/>
        <v>0</v>
      </c>
      <c r="AE69" s="852">
        <f t="shared" si="109"/>
        <v>0</v>
      </c>
      <c r="AF69" s="857">
        <f t="shared" si="109"/>
        <v>0</v>
      </c>
      <c r="AG69" s="848">
        <f t="shared" si="109"/>
        <v>0</v>
      </c>
      <c r="AH69" s="848">
        <f t="shared" si="109"/>
        <v>0</v>
      </c>
      <c r="AI69" s="848">
        <f t="shared" si="109"/>
        <v>0</v>
      </c>
      <c r="AJ69" s="848">
        <f t="shared" si="109"/>
        <v>0</v>
      </c>
      <c r="AK69" s="848">
        <f t="shared" si="109"/>
        <v>0</v>
      </c>
      <c r="AL69" s="613">
        <f t="shared" si="109"/>
        <v>0</v>
      </c>
      <c r="AM69" s="612">
        <f t="shared" si="109"/>
        <v>5156944</v>
      </c>
      <c r="AN69" s="502">
        <f t="shared" si="109"/>
        <v>3825626</v>
      </c>
      <c r="AO69" s="549">
        <f t="shared" si="109"/>
        <v>0</v>
      </c>
      <c r="AP69" s="502">
        <f t="shared" si="109"/>
        <v>1293062</v>
      </c>
      <c r="AQ69" s="502">
        <f t="shared" si="109"/>
        <v>38256</v>
      </c>
      <c r="AR69" s="502">
        <f t="shared" si="109"/>
        <v>0</v>
      </c>
      <c r="AS69" s="613">
        <f t="shared" si="109"/>
        <v>6.2419000000000002</v>
      </c>
    </row>
    <row r="70" spans="1:45" ht="14.1" customHeight="1" x14ac:dyDescent="0.2">
      <c r="A70" s="499">
        <v>21</v>
      </c>
      <c r="B70" s="511">
        <v>2430</v>
      </c>
      <c r="C70" s="512">
        <v>600079180</v>
      </c>
      <c r="D70" s="511">
        <v>46747532</v>
      </c>
      <c r="E70" s="510" t="s">
        <v>558</v>
      </c>
      <c r="F70" s="499">
        <v>3111</v>
      </c>
      <c r="G70" s="510" t="s">
        <v>277</v>
      </c>
      <c r="H70" s="495" t="s">
        <v>262</v>
      </c>
      <c r="I70" s="610">
        <v>5053083</v>
      </c>
      <c r="J70" s="14">
        <v>3748578</v>
      </c>
      <c r="K70" s="14">
        <v>0</v>
      </c>
      <c r="L70" s="14">
        <v>1267019</v>
      </c>
      <c r="M70" s="14">
        <v>37486</v>
      </c>
      <c r="N70" s="14">
        <v>0</v>
      </c>
      <c r="O70" s="121">
        <v>6</v>
      </c>
      <c r="P70" s="676">
        <f t="shared" si="2"/>
        <v>0</v>
      </c>
      <c r="Q70" s="492">
        <v>0</v>
      </c>
      <c r="R70" s="492">
        <v>0</v>
      </c>
      <c r="S70" s="492">
        <v>0</v>
      </c>
      <c r="T70" s="492">
        <v>0</v>
      </c>
      <c r="U70" s="492">
        <v>0</v>
      </c>
      <c r="V70" s="492">
        <f>P70+Q70+R70+S70+T70+U70</f>
        <v>0</v>
      </c>
      <c r="W70" s="492">
        <v>0</v>
      </c>
      <c r="X70" s="492">
        <v>0</v>
      </c>
      <c r="Y70" s="492">
        <v>0</v>
      </c>
      <c r="Z70" s="492">
        <f t="shared" ref="Z70:Z71" si="110">W70+X70+Y70</f>
        <v>0</v>
      </c>
      <c r="AA70" s="492">
        <f t="shared" ref="AA70:AA71" si="111">V70+Z70</f>
        <v>0</v>
      </c>
      <c r="AB70" s="494">
        <f t="shared" ref="AB70:AB71" si="112">ROUND((V70+Z70)*33.8%,0)</f>
        <v>0</v>
      </c>
      <c r="AC70" s="494">
        <f>ROUND(V70*1%,0)</f>
        <v>0</v>
      </c>
      <c r="AD70" s="14">
        <v>0</v>
      </c>
      <c r="AE70" s="753">
        <f t="shared" si="6"/>
        <v>0</v>
      </c>
      <c r="AF70" s="858">
        <v>0</v>
      </c>
      <c r="AG70" s="491">
        <v>0</v>
      </c>
      <c r="AH70" s="491">
        <v>0</v>
      </c>
      <c r="AI70" s="491">
        <v>0</v>
      </c>
      <c r="AJ70" s="491">
        <v>0</v>
      </c>
      <c r="AK70" s="491">
        <v>0</v>
      </c>
      <c r="AL70" s="609">
        <f>SUM(AF70:AK70)</f>
        <v>0</v>
      </c>
      <c r="AM70" s="676">
        <f>I70+AE70</f>
        <v>5053083</v>
      </c>
      <c r="AN70" s="492">
        <f>J70+V70</f>
        <v>3748578</v>
      </c>
      <c r="AO70" s="492">
        <f t="shared" ref="AO70:AO71" si="113">K70+Z70</f>
        <v>0</v>
      </c>
      <c r="AP70" s="492">
        <f t="shared" ref="AP70:AR71" si="114">L70+AB70</f>
        <v>1267019</v>
      </c>
      <c r="AQ70" s="492">
        <f t="shared" si="114"/>
        <v>37486</v>
      </c>
      <c r="AR70" s="573">
        <f t="shared" si="114"/>
        <v>0</v>
      </c>
      <c r="AS70" s="609">
        <f>O70+AL70</f>
        <v>6</v>
      </c>
    </row>
    <row r="71" spans="1:45" ht="14.1" customHeight="1" x14ac:dyDescent="0.2">
      <c r="A71" s="499">
        <v>21</v>
      </c>
      <c r="B71" s="511">
        <v>2430</v>
      </c>
      <c r="C71" s="512">
        <v>600079180</v>
      </c>
      <c r="D71" s="511">
        <v>46747532</v>
      </c>
      <c r="E71" s="510" t="s">
        <v>558</v>
      </c>
      <c r="F71" s="499">
        <v>3111</v>
      </c>
      <c r="G71" s="513" t="s">
        <v>278</v>
      </c>
      <c r="H71" s="495" t="s">
        <v>263</v>
      </c>
      <c r="I71" s="610">
        <v>0</v>
      </c>
      <c r="J71" s="490">
        <v>0</v>
      </c>
      <c r="K71" s="490">
        <v>0</v>
      </c>
      <c r="L71" s="14">
        <v>0</v>
      </c>
      <c r="M71" s="14">
        <v>0</v>
      </c>
      <c r="N71" s="14">
        <v>0</v>
      </c>
      <c r="O71" s="664">
        <v>0</v>
      </c>
      <c r="P71" s="676">
        <f t="shared" si="2"/>
        <v>0</v>
      </c>
      <c r="Q71" s="492">
        <v>0</v>
      </c>
      <c r="R71" s="492">
        <v>0</v>
      </c>
      <c r="S71" s="492">
        <v>0</v>
      </c>
      <c r="T71" s="492">
        <v>0</v>
      </c>
      <c r="U71" s="492">
        <v>0</v>
      </c>
      <c r="V71" s="492">
        <f>P71+Q71+R71+S71+T71+U71</f>
        <v>0</v>
      </c>
      <c r="W71" s="492">
        <v>0</v>
      </c>
      <c r="X71" s="492">
        <v>0</v>
      </c>
      <c r="Y71" s="492">
        <v>0</v>
      </c>
      <c r="Z71" s="492">
        <f t="shared" si="110"/>
        <v>0</v>
      </c>
      <c r="AA71" s="492">
        <f t="shared" si="111"/>
        <v>0</v>
      </c>
      <c r="AB71" s="494">
        <f t="shared" si="112"/>
        <v>0</v>
      </c>
      <c r="AC71" s="494">
        <f>ROUND(V71*1%,0)</f>
        <v>0</v>
      </c>
      <c r="AD71" s="14">
        <v>0</v>
      </c>
      <c r="AE71" s="753">
        <f t="shared" si="6"/>
        <v>0</v>
      </c>
      <c r="AF71" s="858">
        <v>0</v>
      </c>
      <c r="AG71" s="491">
        <v>0</v>
      </c>
      <c r="AH71" s="491">
        <v>0</v>
      </c>
      <c r="AI71" s="491">
        <v>0</v>
      </c>
      <c r="AJ71" s="491">
        <v>0</v>
      </c>
      <c r="AK71" s="491">
        <v>0</v>
      </c>
      <c r="AL71" s="609">
        <f>SUM(AF71:AK71)</f>
        <v>0</v>
      </c>
      <c r="AM71" s="676">
        <f>I71+AE71</f>
        <v>0</v>
      </c>
      <c r="AN71" s="492">
        <f>J71+V71</f>
        <v>0</v>
      </c>
      <c r="AO71" s="492">
        <f t="shared" si="113"/>
        <v>0</v>
      </c>
      <c r="AP71" s="492">
        <f t="shared" si="114"/>
        <v>0</v>
      </c>
      <c r="AQ71" s="492">
        <f t="shared" si="114"/>
        <v>0</v>
      </c>
      <c r="AR71" s="573">
        <f t="shared" si="114"/>
        <v>0</v>
      </c>
      <c r="AS71" s="609">
        <f>O71+AL71</f>
        <v>0</v>
      </c>
    </row>
    <row r="72" spans="1:45" ht="13.5" customHeight="1" x14ac:dyDescent="0.2">
      <c r="A72" s="509">
        <v>21</v>
      </c>
      <c r="B72" s="507">
        <v>2430</v>
      </c>
      <c r="C72" s="508">
        <v>600079180</v>
      </c>
      <c r="D72" s="507">
        <v>46747532</v>
      </c>
      <c r="E72" s="505" t="s">
        <v>559</v>
      </c>
      <c r="F72" s="509"/>
      <c r="G72" s="505"/>
      <c r="H72" s="504"/>
      <c r="I72" s="612">
        <v>5053083</v>
      </c>
      <c r="J72" s="503">
        <v>3748578</v>
      </c>
      <c r="K72" s="503">
        <v>0</v>
      </c>
      <c r="L72" s="503">
        <v>1267019</v>
      </c>
      <c r="M72" s="503">
        <v>37486</v>
      </c>
      <c r="N72" s="503">
        <v>0</v>
      </c>
      <c r="O72" s="837">
        <v>6</v>
      </c>
      <c r="P72" s="612">
        <f t="shared" ref="P72:AS72" si="115">SUM(P70:P71)</f>
        <v>0</v>
      </c>
      <c r="Q72" s="502">
        <f t="shared" si="115"/>
        <v>0</v>
      </c>
      <c r="R72" s="502">
        <f t="shared" si="115"/>
        <v>0</v>
      </c>
      <c r="S72" s="502">
        <f t="shared" si="115"/>
        <v>0</v>
      </c>
      <c r="T72" s="502">
        <f t="shared" si="115"/>
        <v>0</v>
      </c>
      <c r="U72" s="502">
        <f t="shared" si="115"/>
        <v>0</v>
      </c>
      <c r="V72" s="502">
        <f t="shared" si="115"/>
        <v>0</v>
      </c>
      <c r="W72" s="502">
        <f t="shared" si="115"/>
        <v>0</v>
      </c>
      <c r="X72" s="502">
        <f t="shared" si="115"/>
        <v>0</v>
      </c>
      <c r="Y72" s="502">
        <f t="shared" si="115"/>
        <v>0</v>
      </c>
      <c r="Z72" s="502">
        <f t="shared" si="115"/>
        <v>0</v>
      </c>
      <c r="AA72" s="502">
        <f t="shared" si="115"/>
        <v>0</v>
      </c>
      <c r="AB72" s="502">
        <f t="shared" si="115"/>
        <v>0</v>
      </c>
      <c r="AC72" s="502">
        <f t="shared" si="115"/>
        <v>0</v>
      </c>
      <c r="AD72" s="502">
        <f t="shared" si="115"/>
        <v>0</v>
      </c>
      <c r="AE72" s="852">
        <f t="shared" si="115"/>
        <v>0</v>
      </c>
      <c r="AF72" s="857">
        <f t="shared" si="115"/>
        <v>0</v>
      </c>
      <c r="AG72" s="848">
        <f t="shared" si="115"/>
        <v>0</v>
      </c>
      <c r="AH72" s="848">
        <f t="shared" si="115"/>
        <v>0</v>
      </c>
      <c r="AI72" s="848">
        <f t="shared" si="115"/>
        <v>0</v>
      </c>
      <c r="AJ72" s="848">
        <f t="shared" si="115"/>
        <v>0</v>
      </c>
      <c r="AK72" s="848">
        <f t="shared" si="115"/>
        <v>0</v>
      </c>
      <c r="AL72" s="613">
        <f t="shared" si="115"/>
        <v>0</v>
      </c>
      <c r="AM72" s="612">
        <f t="shared" si="115"/>
        <v>5053083</v>
      </c>
      <c r="AN72" s="502">
        <f t="shared" si="115"/>
        <v>3748578</v>
      </c>
      <c r="AO72" s="549">
        <f t="shared" si="115"/>
        <v>0</v>
      </c>
      <c r="AP72" s="502">
        <f t="shared" si="115"/>
        <v>1267019</v>
      </c>
      <c r="AQ72" s="502">
        <f t="shared" si="115"/>
        <v>37486</v>
      </c>
      <c r="AR72" s="502">
        <f t="shared" si="115"/>
        <v>0</v>
      </c>
      <c r="AS72" s="613">
        <f t="shared" si="115"/>
        <v>6</v>
      </c>
    </row>
    <row r="73" spans="1:45" ht="14.1" customHeight="1" x14ac:dyDescent="0.2">
      <c r="A73" s="499">
        <v>22</v>
      </c>
      <c r="B73" s="511">
        <v>2409</v>
      </c>
      <c r="C73" s="512">
        <v>600079635</v>
      </c>
      <c r="D73" s="511">
        <v>72742747</v>
      </c>
      <c r="E73" s="510" t="s">
        <v>560</v>
      </c>
      <c r="F73" s="499">
        <v>3111</v>
      </c>
      <c r="G73" s="510" t="s">
        <v>277</v>
      </c>
      <c r="H73" s="495" t="s">
        <v>262</v>
      </c>
      <c r="I73" s="610">
        <v>7478701</v>
      </c>
      <c r="J73" s="14">
        <v>5547998</v>
      </c>
      <c r="K73" s="14">
        <v>0</v>
      </c>
      <c r="L73" s="14">
        <v>1875223</v>
      </c>
      <c r="M73" s="14">
        <v>55480</v>
      </c>
      <c r="N73" s="14">
        <v>0</v>
      </c>
      <c r="O73" s="121">
        <v>8.9</v>
      </c>
      <c r="P73" s="676">
        <f t="shared" si="2"/>
        <v>0</v>
      </c>
      <c r="Q73" s="492">
        <v>0</v>
      </c>
      <c r="R73" s="492">
        <v>0</v>
      </c>
      <c r="S73" s="492">
        <v>0</v>
      </c>
      <c r="T73" s="492">
        <v>0</v>
      </c>
      <c r="U73" s="492">
        <v>0</v>
      </c>
      <c r="V73" s="492">
        <f>P73+Q73+R73+S73+T73+U73</f>
        <v>0</v>
      </c>
      <c r="W73" s="492">
        <v>0</v>
      </c>
      <c r="X73" s="492">
        <v>0</v>
      </c>
      <c r="Y73" s="492">
        <v>0</v>
      </c>
      <c r="Z73" s="492">
        <f t="shared" ref="Z73:Z74" si="116">W73+X73+Y73</f>
        <v>0</v>
      </c>
      <c r="AA73" s="492">
        <f t="shared" ref="AA73:AA74" si="117">V73+Z73</f>
        <v>0</v>
      </c>
      <c r="AB73" s="494">
        <f t="shared" ref="AB73:AB74" si="118">ROUND((V73+Z73)*33.8%,0)</f>
        <v>0</v>
      </c>
      <c r="AC73" s="494">
        <f>ROUND(V73*1%,0)</f>
        <v>0</v>
      </c>
      <c r="AD73" s="14">
        <v>0</v>
      </c>
      <c r="AE73" s="753">
        <f t="shared" si="6"/>
        <v>0</v>
      </c>
      <c r="AF73" s="858">
        <v>0</v>
      </c>
      <c r="AG73" s="491">
        <v>0</v>
      </c>
      <c r="AH73" s="491">
        <v>0</v>
      </c>
      <c r="AI73" s="491">
        <v>0</v>
      </c>
      <c r="AJ73" s="491">
        <v>0</v>
      </c>
      <c r="AK73" s="491">
        <v>0</v>
      </c>
      <c r="AL73" s="609">
        <f>SUM(AF73:AK73)</f>
        <v>0</v>
      </c>
      <c r="AM73" s="676">
        <f>I73+AE73</f>
        <v>7478701</v>
      </c>
      <c r="AN73" s="492">
        <f>J73+V73</f>
        <v>5547998</v>
      </c>
      <c r="AO73" s="492">
        <f t="shared" ref="AO73:AO74" si="119">K73+Z73</f>
        <v>0</v>
      </c>
      <c r="AP73" s="492">
        <f t="shared" ref="AP73:AR74" si="120">L73+AB73</f>
        <v>1875223</v>
      </c>
      <c r="AQ73" s="492">
        <f t="shared" si="120"/>
        <v>55480</v>
      </c>
      <c r="AR73" s="573">
        <f t="shared" si="120"/>
        <v>0</v>
      </c>
      <c r="AS73" s="609">
        <f>O73+AL73</f>
        <v>8.9</v>
      </c>
    </row>
    <row r="74" spans="1:45" ht="14.1" customHeight="1" x14ac:dyDescent="0.2">
      <c r="A74" s="499">
        <v>22</v>
      </c>
      <c r="B74" s="511">
        <v>2409</v>
      </c>
      <c r="C74" s="512">
        <v>600079635</v>
      </c>
      <c r="D74" s="511">
        <v>72742747</v>
      </c>
      <c r="E74" s="510" t="s">
        <v>560</v>
      </c>
      <c r="F74" s="499">
        <v>3111</v>
      </c>
      <c r="G74" s="510" t="s">
        <v>278</v>
      </c>
      <c r="H74" s="495" t="s">
        <v>263</v>
      </c>
      <c r="I74" s="610">
        <v>802426</v>
      </c>
      <c r="J74" s="490">
        <v>595271</v>
      </c>
      <c r="K74" s="490">
        <v>0</v>
      </c>
      <c r="L74" s="14">
        <v>201202</v>
      </c>
      <c r="M74" s="14">
        <v>5953</v>
      </c>
      <c r="N74" s="14">
        <v>0</v>
      </c>
      <c r="O74" s="664">
        <v>1.5</v>
      </c>
      <c r="P74" s="676">
        <f t="shared" si="2"/>
        <v>0</v>
      </c>
      <c r="Q74" s="492">
        <v>0</v>
      </c>
      <c r="R74" s="492">
        <v>0</v>
      </c>
      <c r="S74" s="492">
        <v>0</v>
      </c>
      <c r="T74" s="492">
        <v>0</v>
      </c>
      <c r="U74" s="492">
        <v>0</v>
      </c>
      <c r="V74" s="492">
        <f>P74+Q74+R74+S74+T74+U74</f>
        <v>0</v>
      </c>
      <c r="W74" s="492">
        <v>0</v>
      </c>
      <c r="X74" s="492">
        <v>0</v>
      </c>
      <c r="Y74" s="492">
        <v>0</v>
      </c>
      <c r="Z74" s="492">
        <f t="shared" si="116"/>
        <v>0</v>
      </c>
      <c r="AA74" s="492">
        <f t="shared" si="117"/>
        <v>0</v>
      </c>
      <c r="AB74" s="494">
        <f t="shared" si="118"/>
        <v>0</v>
      </c>
      <c r="AC74" s="494">
        <f>ROUND(V74*1%,0)</f>
        <v>0</v>
      </c>
      <c r="AD74" s="14">
        <v>0</v>
      </c>
      <c r="AE74" s="753">
        <f t="shared" si="6"/>
        <v>0</v>
      </c>
      <c r="AF74" s="858">
        <v>0</v>
      </c>
      <c r="AG74" s="491">
        <v>0</v>
      </c>
      <c r="AH74" s="491">
        <v>0</v>
      </c>
      <c r="AI74" s="491">
        <v>0</v>
      </c>
      <c r="AJ74" s="491">
        <v>0</v>
      </c>
      <c r="AK74" s="491">
        <v>0</v>
      </c>
      <c r="AL74" s="609">
        <f>SUM(AF74:AK74)</f>
        <v>0</v>
      </c>
      <c r="AM74" s="676">
        <f>I74+AE74</f>
        <v>802426</v>
      </c>
      <c r="AN74" s="492">
        <f>J74+V74</f>
        <v>595271</v>
      </c>
      <c r="AO74" s="492">
        <f t="shared" si="119"/>
        <v>0</v>
      </c>
      <c r="AP74" s="492">
        <f t="shared" si="120"/>
        <v>201202</v>
      </c>
      <c r="AQ74" s="492">
        <f t="shared" si="120"/>
        <v>5953</v>
      </c>
      <c r="AR74" s="573">
        <f t="shared" si="120"/>
        <v>0</v>
      </c>
      <c r="AS74" s="609">
        <f>O74+AL74</f>
        <v>1.5</v>
      </c>
    </row>
    <row r="75" spans="1:45" ht="13.5" customHeight="1" x14ac:dyDescent="0.2">
      <c r="A75" s="509">
        <v>22</v>
      </c>
      <c r="B75" s="507">
        <v>2409</v>
      </c>
      <c r="C75" s="508">
        <v>600079635</v>
      </c>
      <c r="D75" s="507">
        <v>72742747</v>
      </c>
      <c r="E75" s="505" t="s">
        <v>561</v>
      </c>
      <c r="F75" s="509"/>
      <c r="G75" s="505"/>
      <c r="H75" s="504"/>
      <c r="I75" s="612">
        <v>8281127</v>
      </c>
      <c r="J75" s="503">
        <v>6143269</v>
      </c>
      <c r="K75" s="503">
        <v>0</v>
      </c>
      <c r="L75" s="503">
        <v>2076425</v>
      </c>
      <c r="M75" s="503">
        <v>61433</v>
      </c>
      <c r="N75" s="503">
        <v>0</v>
      </c>
      <c r="O75" s="837">
        <v>10.4</v>
      </c>
      <c r="P75" s="612">
        <f t="shared" ref="P75:AS75" si="121">SUM(P73:P74)</f>
        <v>0</v>
      </c>
      <c r="Q75" s="502">
        <f t="shared" si="121"/>
        <v>0</v>
      </c>
      <c r="R75" s="502">
        <f t="shared" si="121"/>
        <v>0</v>
      </c>
      <c r="S75" s="502">
        <f t="shared" si="121"/>
        <v>0</v>
      </c>
      <c r="T75" s="502">
        <f t="shared" si="121"/>
        <v>0</v>
      </c>
      <c r="U75" s="502">
        <f t="shared" si="121"/>
        <v>0</v>
      </c>
      <c r="V75" s="502">
        <f t="shared" si="121"/>
        <v>0</v>
      </c>
      <c r="W75" s="502">
        <f t="shared" si="121"/>
        <v>0</v>
      </c>
      <c r="X75" s="502">
        <f t="shared" si="121"/>
        <v>0</v>
      </c>
      <c r="Y75" s="502">
        <f t="shared" si="121"/>
        <v>0</v>
      </c>
      <c r="Z75" s="502">
        <f t="shared" si="121"/>
        <v>0</v>
      </c>
      <c r="AA75" s="502">
        <f t="shared" si="121"/>
        <v>0</v>
      </c>
      <c r="AB75" s="502">
        <f t="shared" si="121"/>
        <v>0</v>
      </c>
      <c r="AC75" s="502">
        <f t="shared" si="121"/>
        <v>0</v>
      </c>
      <c r="AD75" s="502">
        <f t="shared" si="121"/>
        <v>0</v>
      </c>
      <c r="AE75" s="852">
        <f t="shared" si="121"/>
        <v>0</v>
      </c>
      <c r="AF75" s="857">
        <f t="shared" si="121"/>
        <v>0</v>
      </c>
      <c r="AG75" s="848">
        <f t="shared" si="121"/>
        <v>0</v>
      </c>
      <c r="AH75" s="848">
        <f t="shared" si="121"/>
        <v>0</v>
      </c>
      <c r="AI75" s="848">
        <f t="shared" si="121"/>
        <v>0</v>
      </c>
      <c r="AJ75" s="848">
        <f t="shared" si="121"/>
        <v>0</v>
      </c>
      <c r="AK75" s="848">
        <f t="shared" si="121"/>
        <v>0</v>
      </c>
      <c r="AL75" s="613">
        <f t="shared" si="121"/>
        <v>0</v>
      </c>
      <c r="AM75" s="612">
        <f t="shared" si="121"/>
        <v>8281127</v>
      </c>
      <c r="AN75" s="502">
        <f t="shared" si="121"/>
        <v>6143269</v>
      </c>
      <c r="AO75" s="549">
        <f t="shared" si="121"/>
        <v>0</v>
      </c>
      <c r="AP75" s="502">
        <f t="shared" si="121"/>
        <v>2076425</v>
      </c>
      <c r="AQ75" s="502">
        <f t="shared" si="121"/>
        <v>61433</v>
      </c>
      <c r="AR75" s="502">
        <f t="shared" si="121"/>
        <v>0</v>
      </c>
      <c r="AS75" s="613">
        <f t="shared" si="121"/>
        <v>10.4</v>
      </c>
    </row>
    <row r="76" spans="1:45" ht="14.1" customHeight="1" x14ac:dyDescent="0.2">
      <c r="A76" s="499">
        <v>23</v>
      </c>
      <c r="B76" s="511">
        <v>2429</v>
      </c>
      <c r="C76" s="512">
        <v>600079244</v>
      </c>
      <c r="D76" s="511">
        <v>72741708</v>
      </c>
      <c r="E76" s="510" t="s">
        <v>562</v>
      </c>
      <c r="F76" s="499">
        <v>3111</v>
      </c>
      <c r="G76" s="510" t="s">
        <v>277</v>
      </c>
      <c r="H76" s="495" t="s">
        <v>262</v>
      </c>
      <c r="I76" s="610">
        <v>6886483</v>
      </c>
      <c r="J76" s="14">
        <v>5108667</v>
      </c>
      <c r="K76" s="14">
        <v>0</v>
      </c>
      <c r="L76" s="14">
        <v>1726729</v>
      </c>
      <c r="M76" s="14">
        <v>51087</v>
      </c>
      <c r="N76" s="14">
        <v>0</v>
      </c>
      <c r="O76" s="121">
        <v>8.4515999999999991</v>
      </c>
      <c r="P76" s="676">
        <f t="shared" si="2"/>
        <v>0</v>
      </c>
      <c r="Q76" s="492">
        <v>0</v>
      </c>
      <c r="R76" s="492">
        <v>0</v>
      </c>
      <c r="S76" s="492">
        <v>0</v>
      </c>
      <c r="T76" s="492">
        <v>0</v>
      </c>
      <c r="U76" s="492">
        <v>0</v>
      </c>
      <c r="V76" s="492">
        <f>P76+Q76+R76+S76+T76+U76</f>
        <v>0</v>
      </c>
      <c r="W76" s="492">
        <v>0</v>
      </c>
      <c r="X76" s="492">
        <v>0</v>
      </c>
      <c r="Y76" s="492">
        <v>0</v>
      </c>
      <c r="Z76" s="492">
        <f t="shared" ref="Z76:Z77" si="122">W76+X76+Y76</f>
        <v>0</v>
      </c>
      <c r="AA76" s="492">
        <f t="shared" ref="AA76:AA77" si="123">V76+Z76</f>
        <v>0</v>
      </c>
      <c r="AB76" s="494">
        <f t="shared" ref="AB76:AB77" si="124">ROUND((V76+Z76)*33.8%,0)</f>
        <v>0</v>
      </c>
      <c r="AC76" s="494">
        <f>ROUND(V76*1%,0)</f>
        <v>0</v>
      </c>
      <c r="AD76" s="14">
        <v>0</v>
      </c>
      <c r="AE76" s="753">
        <f t="shared" si="6"/>
        <v>0</v>
      </c>
      <c r="AF76" s="858">
        <v>0</v>
      </c>
      <c r="AG76" s="491">
        <v>0</v>
      </c>
      <c r="AH76" s="491">
        <v>0</v>
      </c>
      <c r="AI76" s="491">
        <v>0</v>
      </c>
      <c r="AJ76" s="491">
        <v>0</v>
      </c>
      <c r="AK76" s="491">
        <v>0</v>
      </c>
      <c r="AL76" s="609">
        <f>SUM(AF76:AK76)</f>
        <v>0</v>
      </c>
      <c r="AM76" s="676">
        <f>I76+AE76</f>
        <v>6886483</v>
      </c>
      <c r="AN76" s="492">
        <f>J76+V76</f>
        <v>5108667</v>
      </c>
      <c r="AO76" s="492">
        <f t="shared" ref="AO76:AO77" si="125">K76+Z76</f>
        <v>0</v>
      </c>
      <c r="AP76" s="492">
        <f t="shared" ref="AP76:AR77" si="126">L76+AB76</f>
        <v>1726729</v>
      </c>
      <c r="AQ76" s="492">
        <f t="shared" si="126"/>
        <v>51087</v>
      </c>
      <c r="AR76" s="573">
        <f t="shared" si="126"/>
        <v>0</v>
      </c>
      <c r="AS76" s="609">
        <f>O76+AL76</f>
        <v>8.4515999999999991</v>
      </c>
    </row>
    <row r="77" spans="1:45" ht="14.1" customHeight="1" x14ac:dyDescent="0.2">
      <c r="A77" s="499">
        <v>23</v>
      </c>
      <c r="B77" s="511">
        <v>2429</v>
      </c>
      <c r="C77" s="512">
        <v>600079244</v>
      </c>
      <c r="D77" s="511">
        <v>72741708</v>
      </c>
      <c r="E77" s="510" t="s">
        <v>562</v>
      </c>
      <c r="F77" s="499">
        <v>3111</v>
      </c>
      <c r="G77" s="513" t="s">
        <v>278</v>
      </c>
      <c r="H77" s="495" t="s">
        <v>263</v>
      </c>
      <c r="I77" s="610">
        <v>534949</v>
      </c>
      <c r="J77" s="490">
        <v>396847</v>
      </c>
      <c r="K77" s="490">
        <v>0</v>
      </c>
      <c r="L77" s="14">
        <v>134134</v>
      </c>
      <c r="M77" s="14">
        <v>3968</v>
      </c>
      <c r="N77" s="14">
        <v>0</v>
      </c>
      <c r="O77" s="664">
        <v>1</v>
      </c>
      <c r="P77" s="676">
        <f t="shared" ref="P77:P140" si="127">W77*-1</f>
        <v>0</v>
      </c>
      <c r="Q77" s="492">
        <v>0</v>
      </c>
      <c r="R77" s="492">
        <v>0</v>
      </c>
      <c r="S77" s="492">
        <v>0</v>
      </c>
      <c r="T77" s="492">
        <v>0</v>
      </c>
      <c r="U77" s="492">
        <v>0</v>
      </c>
      <c r="V77" s="492">
        <f>P77+Q77+R77+S77+T77+U77</f>
        <v>0</v>
      </c>
      <c r="W77" s="492">
        <v>0</v>
      </c>
      <c r="X77" s="492">
        <v>0</v>
      </c>
      <c r="Y77" s="492">
        <v>0</v>
      </c>
      <c r="Z77" s="492">
        <f t="shared" si="122"/>
        <v>0</v>
      </c>
      <c r="AA77" s="492">
        <f t="shared" si="123"/>
        <v>0</v>
      </c>
      <c r="AB77" s="494">
        <f t="shared" si="124"/>
        <v>0</v>
      </c>
      <c r="AC77" s="494">
        <f>ROUND(V77*1%,0)</f>
        <v>0</v>
      </c>
      <c r="AD77" s="14">
        <v>0</v>
      </c>
      <c r="AE77" s="753">
        <f t="shared" ref="AE77:AE140" si="128">AA77+AB77+AC77+AD77</f>
        <v>0</v>
      </c>
      <c r="AF77" s="858">
        <v>0</v>
      </c>
      <c r="AG77" s="491">
        <v>0</v>
      </c>
      <c r="AH77" s="491">
        <v>0</v>
      </c>
      <c r="AI77" s="491">
        <v>0</v>
      </c>
      <c r="AJ77" s="491">
        <v>0</v>
      </c>
      <c r="AK77" s="491">
        <v>0</v>
      </c>
      <c r="AL77" s="609">
        <f>SUM(AF77:AK77)</f>
        <v>0</v>
      </c>
      <c r="AM77" s="676">
        <f>I77+AE77</f>
        <v>534949</v>
      </c>
      <c r="AN77" s="492">
        <f>J77+V77</f>
        <v>396847</v>
      </c>
      <c r="AO77" s="492">
        <f t="shared" si="125"/>
        <v>0</v>
      </c>
      <c r="AP77" s="492">
        <f t="shared" si="126"/>
        <v>134134</v>
      </c>
      <c r="AQ77" s="492">
        <f t="shared" si="126"/>
        <v>3968</v>
      </c>
      <c r="AR77" s="573">
        <f t="shared" si="126"/>
        <v>0</v>
      </c>
      <c r="AS77" s="609">
        <f>O77+AL77</f>
        <v>1</v>
      </c>
    </row>
    <row r="78" spans="1:45" ht="13.5" customHeight="1" x14ac:dyDescent="0.2">
      <c r="A78" s="509">
        <v>23</v>
      </c>
      <c r="B78" s="507">
        <v>2429</v>
      </c>
      <c r="C78" s="508">
        <v>600079244</v>
      </c>
      <c r="D78" s="507">
        <v>72741708</v>
      </c>
      <c r="E78" s="505" t="s">
        <v>563</v>
      </c>
      <c r="F78" s="509"/>
      <c r="G78" s="505"/>
      <c r="H78" s="504"/>
      <c r="I78" s="612">
        <v>7421432</v>
      </c>
      <c r="J78" s="503">
        <v>5505514</v>
      </c>
      <c r="K78" s="503">
        <v>0</v>
      </c>
      <c r="L78" s="503">
        <v>1860863</v>
      </c>
      <c r="M78" s="503">
        <v>55055</v>
      </c>
      <c r="N78" s="503">
        <v>0</v>
      </c>
      <c r="O78" s="837">
        <v>9.4515999999999991</v>
      </c>
      <c r="P78" s="612">
        <f t="shared" ref="P78:AS78" si="129">SUM(P76:P77)</f>
        <v>0</v>
      </c>
      <c r="Q78" s="502">
        <f t="shared" si="129"/>
        <v>0</v>
      </c>
      <c r="R78" s="502">
        <f t="shared" si="129"/>
        <v>0</v>
      </c>
      <c r="S78" s="502">
        <f t="shared" si="129"/>
        <v>0</v>
      </c>
      <c r="T78" s="502">
        <f t="shared" si="129"/>
        <v>0</v>
      </c>
      <c r="U78" s="502">
        <f t="shared" si="129"/>
        <v>0</v>
      </c>
      <c r="V78" s="502">
        <f t="shared" si="129"/>
        <v>0</v>
      </c>
      <c r="W78" s="502">
        <f t="shared" si="129"/>
        <v>0</v>
      </c>
      <c r="X78" s="502">
        <f t="shared" si="129"/>
        <v>0</v>
      </c>
      <c r="Y78" s="502">
        <f t="shared" si="129"/>
        <v>0</v>
      </c>
      <c r="Z78" s="502">
        <f t="shared" si="129"/>
        <v>0</v>
      </c>
      <c r="AA78" s="502">
        <f t="shared" si="129"/>
        <v>0</v>
      </c>
      <c r="AB78" s="502">
        <f t="shared" si="129"/>
        <v>0</v>
      </c>
      <c r="AC78" s="502">
        <f t="shared" si="129"/>
        <v>0</v>
      </c>
      <c r="AD78" s="502">
        <f t="shared" si="129"/>
        <v>0</v>
      </c>
      <c r="AE78" s="852">
        <f t="shared" si="129"/>
        <v>0</v>
      </c>
      <c r="AF78" s="857">
        <f t="shared" si="129"/>
        <v>0</v>
      </c>
      <c r="AG78" s="848">
        <f t="shared" si="129"/>
        <v>0</v>
      </c>
      <c r="AH78" s="848">
        <f t="shared" si="129"/>
        <v>0</v>
      </c>
      <c r="AI78" s="848">
        <f t="shared" si="129"/>
        <v>0</v>
      </c>
      <c r="AJ78" s="848">
        <f t="shared" si="129"/>
        <v>0</v>
      </c>
      <c r="AK78" s="848">
        <f t="shared" si="129"/>
        <v>0</v>
      </c>
      <c r="AL78" s="613">
        <f t="shared" si="129"/>
        <v>0</v>
      </c>
      <c r="AM78" s="612">
        <f t="shared" si="129"/>
        <v>7421432</v>
      </c>
      <c r="AN78" s="502">
        <f t="shared" si="129"/>
        <v>5505514</v>
      </c>
      <c r="AO78" s="549">
        <f t="shared" si="129"/>
        <v>0</v>
      </c>
      <c r="AP78" s="502">
        <f t="shared" si="129"/>
        <v>1860863</v>
      </c>
      <c r="AQ78" s="502">
        <f t="shared" si="129"/>
        <v>55055</v>
      </c>
      <c r="AR78" s="502">
        <f t="shared" si="129"/>
        <v>0</v>
      </c>
      <c r="AS78" s="613">
        <f t="shared" si="129"/>
        <v>9.4515999999999991</v>
      </c>
    </row>
    <row r="79" spans="1:45" ht="14.1" customHeight="1" x14ac:dyDescent="0.2">
      <c r="A79" s="499">
        <v>24</v>
      </c>
      <c r="B79" s="511">
        <v>2412</v>
      </c>
      <c r="C79" s="512">
        <v>600079252</v>
      </c>
      <c r="D79" s="511">
        <v>72742429</v>
      </c>
      <c r="E79" s="510" t="s">
        <v>564</v>
      </c>
      <c r="F79" s="499">
        <v>3111</v>
      </c>
      <c r="G79" s="510" t="s">
        <v>277</v>
      </c>
      <c r="H79" s="495" t="s">
        <v>262</v>
      </c>
      <c r="I79" s="610">
        <v>11557938</v>
      </c>
      <c r="J79" s="14">
        <v>8574138</v>
      </c>
      <c r="K79" s="14">
        <v>0</v>
      </c>
      <c r="L79" s="14">
        <v>2898059</v>
      </c>
      <c r="M79" s="14">
        <v>85741</v>
      </c>
      <c r="N79" s="14">
        <v>0</v>
      </c>
      <c r="O79" s="121">
        <v>14.870900000000001</v>
      </c>
      <c r="P79" s="676">
        <f t="shared" si="127"/>
        <v>0</v>
      </c>
      <c r="Q79" s="492">
        <v>0</v>
      </c>
      <c r="R79" s="492">
        <v>0</v>
      </c>
      <c r="S79" s="492">
        <v>0</v>
      </c>
      <c r="T79" s="492">
        <v>0</v>
      </c>
      <c r="U79" s="492">
        <v>0</v>
      </c>
      <c r="V79" s="492">
        <f>P79+Q79+R79+S79+T79+U79</f>
        <v>0</v>
      </c>
      <c r="W79" s="492">
        <v>0</v>
      </c>
      <c r="X79" s="492">
        <v>0</v>
      </c>
      <c r="Y79" s="492">
        <v>0</v>
      </c>
      <c r="Z79" s="492">
        <f t="shared" ref="Z79:Z80" si="130">W79+X79+Y79</f>
        <v>0</v>
      </c>
      <c r="AA79" s="492">
        <f t="shared" ref="AA79:AA80" si="131">V79+Z79</f>
        <v>0</v>
      </c>
      <c r="AB79" s="494">
        <f t="shared" ref="AB79:AB80" si="132">ROUND((V79+Z79)*33.8%,0)</f>
        <v>0</v>
      </c>
      <c r="AC79" s="494">
        <f>ROUND(V79*1%,0)</f>
        <v>0</v>
      </c>
      <c r="AD79" s="14">
        <v>0</v>
      </c>
      <c r="AE79" s="753">
        <f t="shared" si="128"/>
        <v>0</v>
      </c>
      <c r="AF79" s="858">
        <v>0</v>
      </c>
      <c r="AG79" s="491">
        <v>0</v>
      </c>
      <c r="AH79" s="491">
        <v>0</v>
      </c>
      <c r="AI79" s="491">
        <v>0</v>
      </c>
      <c r="AJ79" s="491">
        <v>0</v>
      </c>
      <c r="AK79" s="491">
        <v>0</v>
      </c>
      <c r="AL79" s="609">
        <f>SUM(AF79:AK79)</f>
        <v>0</v>
      </c>
      <c r="AM79" s="676">
        <f>I79+AE79</f>
        <v>11557938</v>
      </c>
      <c r="AN79" s="492">
        <f>J79+V79</f>
        <v>8574138</v>
      </c>
      <c r="AO79" s="492">
        <f t="shared" ref="AO79:AO80" si="133">K79+Z79</f>
        <v>0</v>
      </c>
      <c r="AP79" s="492">
        <f t="shared" ref="AP79:AR80" si="134">L79+AB79</f>
        <v>2898059</v>
      </c>
      <c r="AQ79" s="492">
        <f t="shared" si="134"/>
        <v>85741</v>
      </c>
      <c r="AR79" s="573">
        <f t="shared" si="134"/>
        <v>0</v>
      </c>
      <c r="AS79" s="609">
        <f>O79+AL79</f>
        <v>14.870900000000001</v>
      </c>
    </row>
    <row r="80" spans="1:45" ht="14.1" customHeight="1" x14ac:dyDescent="0.2">
      <c r="A80" s="499">
        <v>24</v>
      </c>
      <c r="B80" s="511">
        <v>2412</v>
      </c>
      <c r="C80" s="512">
        <v>600079252</v>
      </c>
      <c r="D80" s="511">
        <v>72742429</v>
      </c>
      <c r="E80" s="510" t="s">
        <v>564</v>
      </c>
      <c r="F80" s="499">
        <v>3111</v>
      </c>
      <c r="G80" s="513" t="s">
        <v>278</v>
      </c>
      <c r="H80" s="495" t="s">
        <v>263</v>
      </c>
      <c r="I80" s="610">
        <v>1979860</v>
      </c>
      <c r="J80" s="490">
        <v>1451210</v>
      </c>
      <c r="K80" s="490">
        <v>17660</v>
      </c>
      <c r="L80" s="14">
        <v>496478</v>
      </c>
      <c r="M80" s="14">
        <v>14512</v>
      </c>
      <c r="N80" s="14">
        <v>0</v>
      </c>
      <c r="O80" s="664">
        <v>3.91</v>
      </c>
      <c r="P80" s="676">
        <f t="shared" si="127"/>
        <v>0</v>
      </c>
      <c r="Q80" s="492">
        <v>0</v>
      </c>
      <c r="R80" s="492">
        <v>0</v>
      </c>
      <c r="S80" s="492">
        <v>0</v>
      </c>
      <c r="T80" s="492">
        <v>0</v>
      </c>
      <c r="U80" s="492">
        <v>0</v>
      </c>
      <c r="V80" s="492">
        <f>P80+Q80+R80+S80+T80+U80</f>
        <v>0</v>
      </c>
      <c r="W80" s="492">
        <v>0</v>
      </c>
      <c r="X80" s="492">
        <v>0</v>
      </c>
      <c r="Y80" s="492">
        <v>0</v>
      </c>
      <c r="Z80" s="492">
        <f t="shared" si="130"/>
        <v>0</v>
      </c>
      <c r="AA80" s="492">
        <f t="shared" si="131"/>
        <v>0</v>
      </c>
      <c r="AB80" s="494">
        <f t="shared" si="132"/>
        <v>0</v>
      </c>
      <c r="AC80" s="494">
        <f>ROUND(V80*1%,0)</f>
        <v>0</v>
      </c>
      <c r="AD80" s="14">
        <v>0</v>
      </c>
      <c r="AE80" s="753">
        <f t="shared" si="128"/>
        <v>0</v>
      </c>
      <c r="AF80" s="858">
        <v>0</v>
      </c>
      <c r="AG80" s="491">
        <v>0</v>
      </c>
      <c r="AH80" s="491">
        <v>0</v>
      </c>
      <c r="AI80" s="491">
        <v>0</v>
      </c>
      <c r="AJ80" s="491">
        <v>0</v>
      </c>
      <c r="AK80" s="491">
        <v>0</v>
      </c>
      <c r="AL80" s="609">
        <f>SUM(AF80:AK80)</f>
        <v>0</v>
      </c>
      <c r="AM80" s="676">
        <f>I80+AE80</f>
        <v>1979860</v>
      </c>
      <c r="AN80" s="492">
        <f>J80+V80</f>
        <v>1451210</v>
      </c>
      <c r="AO80" s="492">
        <f t="shared" si="133"/>
        <v>17660</v>
      </c>
      <c r="AP80" s="492">
        <f t="shared" si="134"/>
        <v>496478</v>
      </c>
      <c r="AQ80" s="492">
        <f t="shared" si="134"/>
        <v>14512</v>
      </c>
      <c r="AR80" s="573">
        <f t="shared" si="134"/>
        <v>0</v>
      </c>
      <c r="AS80" s="609">
        <f>O80+AL80</f>
        <v>3.91</v>
      </c>
    </row>
    <row r="81" spans="1:45" ht="13.5" customHeight="1" x14ac:dyDescent="0.2">
      <c r="A81" s="509">
        <v>24</v>
      </c>
      <c r="B81" s="507">
        <v>2412</v>
      </c>
      <c r="C81" s="508">
        <v>600079252</v>
      </c>
      <c r="D81" s="507">
        <v>72742429</v>
      </c>
      <c r="E81" s="505" t="s">
        <v>565</v>
      </c>
      <c r="F81" s="509"/>
      <c r="G81" s="505"/>
      <c r="H81" s="504"/>
      <c r="I81" s="612">
        <v>13537798</v>
      </c>
      <c r="J81" s="503">
        <v>10025348</v>
      </c>
      <c r="K81" s="503">
        <v>17660</v>
      </c>
      <c r="L81" s="503">
        <v>3394537</v>
      </c>
      <c r="M81" s="503">
        <v>100253</v>
      </c>
      <c r="N81" s="503">
        <v>0</v>
      </c>
      <c r="O81" s="837">
        <v>18.780900000000003</v>
      </c>
      <c r="P81" s="612">
        <f t="shared" ref="P81:AS81" si="135">SUM(P79:P80)</f>
        <v>0</v>
      </c>
      <c r="Q81" s="502">
        <f t="shared" si="135"/>
        <v>0</v>
      </c>
      <c r="R81" s="502">
        <f t="shared" si="135"/>
        <v>0</v>
      </c>
      <c r="S81" s="502">
        <f t="shared" si="135"/>
        <v>0</v>
      </c>
      <c r="T81" s="502">
        <f t="shared" si="135"/>
        <v>0</v>
      </c>
      <c r="U81" s="502">
        <f t="shared" si="135"/>
        <v>0</v>
      </c>
      <c r="V81" s="502">
        <f t="shared" si="135"/>
        <v>0</v>
      </c>
      <c r="W81" s="502">
        <f t="shared" si="135"/>
        <v>0</v>
      </c>
      <c r="X81" s="502">
        <f t="shared" si="135"/>
        <v>0</v>
      </c>
      <c r="Y81" s="502">
        <f t="shared" si="135"/>
        <v>0</v>
      </c>
      <c r="Z81" s="502">
        <f t="shared" si="135"/>
        <v>0</v>
      </c>
      <c r="AA81" s="502">
        <f t="shared" si="135"/>
        <v>0</v>
      </c>
      <c r="AB81" s="502">
        <f t="shared" si="135"/>
        <v>0</v>
      </c>
      <c r="AC81" s="502">
        <f t="shared" si="135"/>
        <v>0</v>
      </c>
      <c r="AD81" s="502">
        <f t="shared" si="135"/>
        <v>0</v>
      </c>
      <c r="AE81" s="852">
        <f t="shared" si="135"/>
        <v>0</v>
      </c>
      <c r="AF81" s="857">
        <f t="shared" si="135"/>
        <v>0</v>
      </c>
      <c r="AG81" s="848">
        <f t="shared" si="135"/>
        <v>0</v>
      </c>
      <c r="AH81" s="848">
        <f t="shared" si="135"/>
        <v>0</v>
      </c>
      <c r="AI81" s="848">
        <f t="shared" si="135"/>
        <v>0</v>
      </c>
      <c r="AJ81" s="848">
        <f t="shared" si="135"/>
        <v>0</v>
      </c>
      <c r="AK81" s="848">
        <f t="shared" si="135"/>
        <v>0</v>
      </c>
      <c r="AL81" s="613">
        <f t="shared" si="135"/>
        <v>0</v>
      </c>
      <c r="AM81" s="612">
        <f t="shared" si="135"/>
        <v>13537798</v>
      </c>
      <c r="AN81" s="502">
        <f t="shared" si="135"/>
        <v>10025348</v>
      </c>
      <c r="AO81" s="549">
        <f t="shared" si="135"/>
        <v>17660</v>
      </c>
      <c r="AP81" s="502">
        <f t="shared" si="135"/>
        <v>3394537</v>
      </c>
      <c r="AQ81" s="502">
        <f t="shared" si="135"/>
        <v>100253</v>
      </c>
      <c r="AR81" s="502">
        <f t="shared" si="135"/>
        <v>0</v>
      </c>
      <c r="AS81" s="613">
        <f t="shared" si="135"/>
        <v>18.780900000000003</v>
      </c>
    </row>
    <row r="82" spans="1:45" ht="14.1" customHeight="1" x14ac:dyDescent="0.2">
      <c r="A82" s="499">
        <v>25</v>
      </c>
      <c r="B82" s="511">
        <v>2418</v>
      </c>
      <c r="C82" s="512">
        <v>600079261</v>
      </c>
      <c r="D82" s="511">
        <v>72741783</v>
      </c>
      <c r="E82" s="510" t="s">
        <v>566</v>
      </c>
      <c r="F82" s="499">
        <v>3111</v>
      </c>
      <c r="G82" s="510" t="s">
        <v>277</v>
      </c>
      <c r="H82" s="495" t="s">
        <v>262</v>
      </c>
      <c r="I82" s="610">
        <v>3283271</v>
      </c>
      <c r="J82" s="14">
        <v>2435661</v>
      </c>
      <c r="K82" s="14">
        <v>0</v>
      </c>
      <c r="L82" s="14">
        <v>823253</v>
      </c>
      <c r="M82" s="14">
        <v>24357</v>
      </c>
      <c r="N82" s="14">
        <v>0</v>
      </c>
      <c r="O82" s="121">
        <v>4</v>
      </c>
      <c r="P82" s="676">
        <f t="shared" si="127"/>
        <v>0</v>
      </c>
      <c r="Q82" s="492">
        <v>0</v>
      </c>
      <c r="R82" s="492">
        <v>0</v>
      </c>
      <c r="S82" s="492">
        <v>0</v>
      </c>
      <c r="T82" s="492">
        <v>0</v>
      </c>
      <c r="U82" s="492">
        <v>0</v>
      </c>
      <c r="V82" s="492">
        <f>P82+Q82+R82+S82+T82+U82</f>
        <v>0</v>
      </c>
      <c r="W82" s="492">
        <v>0</v>
      </c>
      <c r="X82" s="492">
        <v>0</v>
      </c>
      <c r="Y82" s="492">
        <v>0</v>
      </c>
      <c r="Z82" s="492">
        <f t="shared" ref="Z82" si="136">W82+X82+Y82</f>
        <v>0</v>
      </c>
      <c r="AA82" s="492">
        <f t="shared" ref="AA82" si="137">V82+Z82</f>
        <v>0</v>
      </c>
      <c r="AB82" s="494">
        <f t="shared" ref="AB82" si="138">ROUND((V82+Z82)*33.8%,0)</f>
        <v>0</v>
      </c>
      <c r="AC82" s="494">
        <f>ROUND(V82*1%,0)</f>
        <v>0</v>
      </c>
      <c r="AD82" s="14">
        <v>0</v>
      </c>
      <c r="AE82" s="753">
        <f t="shared" si="128"/>
        <v>0</v>
      </c>
      <c r="AF82" s="858">
        <v>0</v>
      </c>
      <c r="AG82" s="491">
        <v>0</v>
      </c>
      <c r="AH82" s="491">
        <v>0</v>
      </c>
      <c r="AI82" s="491">
        <v>0</v>
      </c>
      <c r="AJ82" s="491">
        <v>0</v>
      </c>
      <c r="AK82" s="491">
        <v>0</v>
      </c>
      <c r="AL82" s="609">
        <f>SUM(AF82:AK82)</f>
        <v>0</v>
      </c>
      <c r="AM82" s="676">
        <f>I82+AE82</f>
        <v>3283271</v>
      </c>
      <c r="AN82" s="492">
        <f>J82+V82</f>
        <v>2435661</v>
      </c>
      <c r="AO82" s="492">
        <f>K82+Z82</f>
        <v>0</v>
      </c>
      <c r="AP82" s="492">
        <f>L82+AB82</f>
        <v>823253</v>
      </c>
      <c r="AQ82" s="492">
        <f>M82+AC82</f>
        <v>24357</v>
      </c>
      <c r="AR82" s="573">
        <f>N82+AD82</f>
        <v>0</v>
      </c>
      <c r="AS82" s="609">
        <f>O82+AL82</f>
        <v>4</v>
      </c>
    </row>
    <row r="83" spans="1:45" ht="13.5" customHeight="1" x14ac:dyDescent="0.2">
      <c r="A83" s="509">
        <v>25</v>
      </c>
      <c r="B83" s="507">
        <v>2418</v>
      </c>
      <c r="C83" s="508">
        <v>600079261</v>
      </c>
      <c r="D83" s="507">
        <v>72741783</v>
      </c>
      <c r="E83" s="505" t="s">
        <v>567</v>
      </c>
      <c r="F83" s="509"/>
      <c r="G83" s="505"/>
      <c r="H83" s="504"/>
      <c r="I83" s="612">
        <v>3283271</v>
      </c>
      <c r="J83" s="503">
        <v>2435661</v>
      </c>
      <c r="K83" s="503">
        <v>0</v>
      </c>
      <c r="L83" s="503">
        <v>823253</v>
      </c>
      <c r="M83" s="503">
        <v>24357</v>
      </c>
      <c r="N83" s="503">
        <v>0</v>
      </c>
      <c r="O83" s="837">
        <v>4</v>
      </c>
      <c r="P83" s="612">
        <f t="shared" ref="P83:AS83" si="139">SUM(P82:P82)</f>
        <v>0</v>
      </c>
      <c r="Q83" s="502">
        <f t="shared" si="139"/>
        <v>0</v>
      </c>
      <c r="R83" s="502">
        <f t="shared" si="139"/>
        <v>0</v>
      </c>
      <c r="S83" s="502">
        <f t="shared" si="139"/>
        <v>0</v>
      </c>
      <c r="T83" s="502">
        <f t="shared" si="139"/>
        <v>0</v>
      </c>
      <c r="U83" s="502">
        <f t="shared" si="139"/>
        <v>0</v>
      </c>
      <c r="V83" s="502">
        <f t="shared" si="139"/>
        <v>0</v>
      </c>
      <c r="W83" s="502">
        <f t="shared" si="139"/>
        <v>0</v>
      </c>
      <c r="X83" s="502">
        <f t="shared" si="139"/>
        <v>0</v>
      </c>
      <c r="Y83" s="502">
        <f t="shared" si="139"/>
        <v>0</v>
      </c>
      <c r="Z83" s="502">
        <f t="shared" si="139"/>
        <v>0</v>
      </c>
      <c r="AA83" s="502">
        <f t="shared" si="139"/>
        <v>0</v>
      </c>
      <c r="AB83" s="502">
        <f t="shared" si="139"/>
        <v>0</v>
      </c>
      <c r="AC83" s="502">
        <f t="shared" si="139"/>
        <v>0</v>
      </c>
      <c r="AD83" s="502">
        <f t="shared" si="139"/>
        <v>0</v>
      </c>
      <c r="AE83" s="852">
        <f t="shared" si="139"/>
        <v>0</v>
      </c>
      <c r="AF83" s="857">
        <f t="shared" si="139"/>
        <v>0</v>
      </c>
      <c r="AG83" s="848">
        <f t="shared" si="139"/>
        <v>0</v>
      </c>
      <c r="AH83" s="848">
        <f t="shared" si="139"/>
        <v>0</v>
      </c>
      <c r="AI83" s="848">
        <f t="shared" si="139"/>
        <v>0</v>
      </c>
      <c r="AJ83" s="848">
        <f t="shared" si="139"/>
        <v>0</v>
      </c>
      <c r="AK83" s="848">
        <f t="shared" si="139"/>
        <v>0</v>
      </c>
      <c r="AL83" s="613">
        <f t="shared" si="139"/>
        <v>0</v>
      </c>
      <c r="AM83" s="612">
        <f t="shared" si="139"/>
        <v>3283271</v>
      </c>
      <c r="AN83" s="502">
        <f t="shared" si="139"/>
        <v>2435661</v>
      </c>
      <c r="AO83" s="549">
        <f t="shared" si="139"/>
        <v>0</v>
      </c>
      <c r="AP83" s="502">
        <f t="shared" si="139"/>
        <v>823253</v>
      </c>
      <c r="AQ83" s="502">
        <f t="shared" si="139"/>
        <v>24357</v>
      </c>
      <c r="AR83" s="502">
        <f t="shared" si="139"/>
        <v>0</v>
      </c>
      <c r="AS83" s="613">
        <f t="shared" si="139"/>
        <v>4</v>
      </c>
    </row>
    <row r="84" spans="1:45" ht="14.1" customHeight="1" x14ac:dyDescent="0.2">
      <c r="A84" s="499">
        <v>26</v>
      </c>
      <c r="B84" s="511">
        <v>2414</v>
      </c>
      <c r="C84" s="512">
        <v>600079295</v>
      </c>
      <c r="D84" s="511">
        <v>72742020</v>
      </c>
      <c r="E84" s="510" t="s">
        <v>568</v>
      </c>
      <c r="F84" s="499">
        <v>3111</v>
      </c>
      <c r="G84" s="510" t="s">
        <v>277</v>
      </c>
      <c r="H84" s="495" t="s">
        <v>262</v>
      </c>
      <c r="I84" s="610">
        <v>4829785</v>
      </c>
      <c r="J84" s="14">
        <v>3582927</v>
      </c>
      <c r="K84" s="14">
        <v>0</v>
      </c>
      <c r="L84" s="14">
        <v>1211029</v>
      </c>
      <c r="M84" s="14">
        <v>35829</v>
      </c>
      <c r="N84" s="14">
        <v>0</v>
      </c>
      <c r="O84" s="121">
        <v>6.2419000000000002</v>
      </c>
      <c r="P84" s="676">
        <f t="shared" si="127"/>
        <v>0</v>
      </c>
      <c r="Q84" s="492">
        <v>0</v>
      </c>
      <c r="R84" s="492">
        <v>0</v>
      </c>
      <c r="S84" s="492">
        <v>0</v>
      </c>
      <c r="T84" s="492">
        <v>0</v>
      </c>
      <c r="U84" s="492">
        <v>0</v>
      </c>
      <c r="V84" s="492">
        <f>P84+Q84+R84+S84+T84+U84</f>
        <v>0</v>
      </c>
      <c r="W84" s="492">
        <v>0</v>
      </c>
      <c r="X84" s="492">
        <v>0</v>
      </c>
      <c r="Y84" s="492">
        <v>0</v>
      </c>
      <c r="Z84" s="492">
        <f t="shared" ref="Z84:Z85" si="140">W84+X84+Y84</f>
        <v>0</v>
      </c>
      <c r="AA84" s="492">
        <f t="shared" ref="AA84:AA85" si="141">V84+Z84</f>
        <v>0</v>
      </c>
      <c r="AB84" s="494">
        <f t="shared" ref="AB84:AB85" si="142">ROUND((V84+Z84)*33.8%,0)</f>
        <v>0</v>
      </c>
      <c r="AC84" s="494">
        <f>ROUND(V84*1%,0)</f>
        <v>0</v>
      </c>
      <c r="AD84" s="14">
        <v>0</v>
      </c>
      <c r="AE84" s="753">
        <f t="shared" si="128"/>
        <v>0</v>
      </c>
      <c r="AF84" s="858">
        <v>0</v>
      </c>
      <c r="AG84" s="491">
        <v>0</v>
      </c>
      <c r="AH84" s="491">
        <v>0</v>
      </c>
      <c r="AI84" s="491">
        <v>0</v>
      </c>
      <c r="AJ84" s="491">
        <v>0</v>
      </c>
      <c r="AK84" s="491">
        <v>0</v>
      </c>
      <c r="AL84" s="609">
        <f>SUM(AF84:AK84)</f>
        <v>0</v>
      </c>
      <c r="AM84" s="676">
        <f>I84+AE84</f>
        <v>4829785</v>
      </c>
      <c r="AN84" s="492">
        <f>J84+V84</f>
        <v>3582927</v>
      </c>
      <c r="AO84" s="492">
        <f t="shared" ref="AO84:AO85" si="143">K84+Z84</f>
        <v>0</v>
      </c>
      <c r="AP84" s="492">
        <f t="shared" ref="AP84:AR85" si="144">L84+AB84</f>
        <v>1211029</v>
      </c>
      <c r="AQ84" s="492">
        <f t="shared" si="144"/>
        <v>35829</v>
      </c>
      <c r="AR84" s="573">
        <f t="shared" si="144"/>
        <v>0</v>
      </c>
      <c r="AS84" s="609">
        <f>O84+AL84</f>
        <v>6.2419000000000002</v>
      </c>
    </row>
    <row r="85" spans="1:45" ht="14.1" customHeight="1" x14ac:dyDescent="0.2">
      <c r="A85" s="499">
        <v>26</v>
      </c>
      <c r="B85" s="511">
        <v>2414</v>
      </c>
      <c r="C85" s="512">
        <v>600079295</v>
      </c>
      <c r="D85" s="511">
        <v>72742020</v>
      </c>
      <c r="E85" s="510" t="s">
        <v>568</v>
      </c>
      <c r="F85" s="499">
        <v>3111</v>
      </c>
      <c r="G85" s="513" t="s">
        <v>278</v>
      </c>
      <c r="H85" s="495" t="s">
        <v>263</v>
      </c>
      <c r="I85" s="610">
        <v>133738</v>
      </c>
      <c r="J85" s="490">
        <v>99212</v>
      </c>
      <c r="K85" s="490">
        <v>0</v>
      </c>
      <c r="L85" s="14">
        <v>33534</v>
      </c>
      <c r="M85" s="14">
        <v>992</v>
      </c>
      <c r="N85" s="14">
        <v>0</v>
      </c>
      <c r="O85" s="664">
        <v>0.25</v>
      </c>
      <c r="P85" s="676">
        <f t="shared" si="127"/>
        <v>0</v>
      </c>
      <c r="Q85" s="492">
        <v>0</v>
      </c>
      <c r="R85" s="492">
        <v>0</v>
      </c>
      <c r="S85" s="492">
        <v>0</v>
      </c>
      <c r="T85" s="492">
        <v>0</v>
      </c>
      <c r="U85" s="492">
        <v>0</v>
      </c>
      <c r="V85" s="492">
        <f>P85+Q85+R85+S85+T85+U85</f>
        <v>0</v>
      </c>
      <c r="W85" s="492">
        <v>0</v>
      </c>
      <c r="X85" s="492">
        <v>0</v>
      </c>
      <c r="Y85" s="492">
        <v>0</v>
      </c>
      <c r="Z85" s="492">
        <f t="shared" si="140"/>
        <v>0</v>
      </c>
      <c r="AA85" s="492">
        <f t="shared" si="141"/>
        <v>0</v>
      </c>
      <c r="AB85" s="494">
        <f t="shared" si="142"/>
        <v>0</v>
      </c>
      <c r="AC85" s="494">
        <f>ROUND(V85*1%,0)</f>
        <v>0</v>
      </c>
      <c r="AD85" s="14">
        <v>0</v>
      </c>
      <c r="AE85" s="753">
        <f t="shared" si="128"/>
        <v>0</v>
      </c>
      <c r="AF85" s="858">
        <v>0</v>
      </c>
      <c r="AG85" s="491">
        <v>0</v>
      </c>
      <c r="AH85" s="491">
        <v>0</v>
      </c>
      <c r="AI85" s="491">
        <v>0</v>
      </c>
      <c r="AJ85" s="491">
        <v>0</v>
      </c>
      <c r="AK85" s="491">
        <v>0</v>
      </c>
      <c r="AL85" s="609">
        <f>SUM(AF85:AK85)</f>
        <v>0</v>
      </c>
      <c r="AM85" s="676">
        <f>I85+AE85</f>
        <v>133738</v>
      </c>
      <c r="AN85" s="492">
        <f>J85+V85</f>
        <v>99212</v>
      </c>
      <c r="AO85" s="492">
        <f t="shared" si="143"/>
        <v>0</v>
      </c>
      <c r="AP85" s="492">
        <f t="shared" si="144"/>
        <v>33534</v>
      </c>
      <c r="AQ85" s="492">
        <f t="shared" si="144"/>
        <v>992</v>
      </c>
      <c r="AR85" s="573">
        <f t="shared" si="144"/>
        <v>0</v>
      </c>
      <c r="AS85" s="609">
        <f>O85+AL85</f>
        <v>0.25</v>
      </c>
    </row>
    <row r="86" spans="1:45" ht="14.1" customHeight="1" x14ac:dyDescent="0.2">
      <c r="A86" s="509">
        <v>26</v>
      </c>
      <c r="B86" s="507">
        <v>2414</v>
      </c>
      <c r="C86" s="508">
        <v>600079295</v>
      </c>
      <c r="D86" s="507">
        <v>72742020</v>
      </c>
      <c r="E86" s="505" t="s">
        <v>569</v>
      </c>
      <c r="F86" s="509"/>
      <c r="G86" s="505"/>
      <c r="H86" s="504"/>
      <c r="I86" s="612">
        <v>4963523</v>
      </c>
      <c r="J86" s="503">
        <v>3682139</v>
      </c>
      <c r="K86" s="503">
        <v>0</v>
      </c>
      <c r="L86" s="503">
        <v>1244563</v>
      </c>
      <c r="M86" s="503">
        <v>36821</v>
      </c>
      <c r="N86" s="503">
        <v>0</v>
      </c>
      <c r="O86" s="837">
        <v>6.4919000000000002</v>
      </c>
      <c r="P86" s="612">
        <f t="shared" ref="P86:AS86" si="145">SUM(P84:P85)</f>
        <v>0</v>
      </c>
      <c r="Q86" s="502">
        <f t="shared" si="145"/>
        <v>0</v>
      </c>
      <c r="R86" s="502">
        <f t="shared" si="145"/>
        <v>0</v>
      </c>
      <c r="S86" s="502">
        <f t="shared" si="145"/>
        <v>0</v>
      </c>
      <c r="T86" s="502">
        <f t="shared" si="145"/>
        <v>0</v>
      </c>
      <c r="U86" s="502">
        <f t="shared" si="145"/>
        <v>0</v>
      </c>
      <c r="V86" s="502">
        <f t="shared" si="145"/>
        <v>0</v>
      </c>
      <c r="W86" s="502">
        <f t="shared" si="145"/>
        <v>0</v>
      </c>
      <c r="X86" s="502">
        <f t="shared" si="145"/>
        <v>0</v>
      </c>
      <c r="Y86" s="502">
        <f t="shared" si="145"/>
        <v>0</v>
      </c>
      <c r="Z86" s="502">
        <f t="shared" si="145"/>
        <v>0</v>
      </c>
      <c r="AA86" s="502">
        <f t="shared" si="145"/>
        <v>0</v>
      </c>
      <c r="AB86" s="502">
        <f t="shared" si="145"/>
        <v>0</v>
      </c>
      <c r="AC86" s="502">
        <f t="shared" si="145"/>
        <v>0</v>
      </c>
      <c r="AD86" s="502">
        <f t="shared" si="145"/>
        <v>0</v>
      </c>
      <c r="AE86" s="852">
        <f t="shared" si="145"/>
        <v>0</v>
      </c>
      <c r="AF86" s="857">
        <f t="shared" si="145"/>
        <v>0</v>
      </c>
      <c r="AG86" s="848">
        <f t="shared" si="145"/>
        <v>0</v>
      </c>
      <c r="AH86" s="848">
        <f t="shared" si="145"/>
        <v>0</v>
      </c>
      <c r="AI86" s="848">
        <f t="shared" si="145"/>
        <v>0</v>
      </c>
      <c r="AJ86" s="848">
        <f t="shared" si="145"/>
        <v>0</v>
      </c>
      <c r="AK86" s="848">
        <f t="shared" si="145"/>
        <v>0</v>
      </c>
      <c r="AL86" s="613">
        <f t="shared" si="145"/>
        <v>0</v>
      </c>
      <c r="AM86" s="612">
        <f t="shared" si="145"/>
        <v>4963523</v>
      </c>
      <c r="AN86" s="502">
        <f t="shared" si="145"/>
        <v>3682139</v>
      </c>
      <c r="AO86" s="549">
        <f t="shared" si="145"/>
        <v>0</v>
      </c>
      <c r="AP86" s="502">
        <f t="shared" si="145"/>
        <v>1244563</v>
      </c>
      <c r="AQ86" s="502">
        <f t="shared" si="145"/>
        <v>36821</v>
      </c>
      <c r="AR86" s="502">
        <f t="shared" si="145"/>
        <v>0</v>
      </c>
      <c r="AS86" s="613">
        <f t="shared" si="145"/>
        <v>6.4919000000000002</v>
      </c>
    </row>
    <row r="87" spans="1:45" ht="14.1" customHeight="1" x14ac:dyDescent="0.2">
      <c r="A87" s="499">
        <v>27</v>
      </c>
      <c r="B87" s="511">
        <v>2443</v>
      </c>
      <c r="C87" s="512">
        <v>600079309</v>
      </c>
      <c r="D87" s="511">
        <v>72743051</v>
      </c>
      <c r="E87" s="510" t="s">
        <v>570</v>
      </c>
      <c r="F87" s="499">
        <v>3111</v>
      </c>
      <c r="G87" s="510" t="s">
        <v>277</v>
      </c>
      <c r="H87" s="495" t="s">
        <v>262</v>
      </c>
      <c r="I87" s="610">
        <v>4812223</v>
      </c>
      <c r="J87" s="14">
        <v>3569898</v>
      </c>
      <c r="K87" s="14">
        <v>0</v>
      </c>
      <c r="L87" s="14">
        <v>1206626</v>
      </c>
      <c r="M87" s="14">
        <v>35699</v>
      </c>
      <c r="N87" s="14">
        <v>0</v>
      </c>
      <c r="O87" s="121">
        <v>6</v>
      </c>
      <c r="P87" s="676">
        <f t="shared" si="127"/>
        <v>0</v>
      </c>
      <c r="Q87" s="492">
        <v>0</v>
      </c>
      <c r="R87" s="492">
        <v>0</v>
      </c>
      <c r="S87" s="492">
        <v>0</v>
      </c>
      <c r="T87" s="492">
        <v>0</v>
      </c>
      <c r="U87" s="492">
        <v>0</v>
      </c>
      <c r="V87" s="492">
        <f>P87+Q87+R87+S87+T87+U87</f>
        <v>0</v>
      </c>
      <c r="W87" s="492">
        <v>0</v>
      </c>
      <c r="X87" s="492">
        <v>0</v>
      </c>
      <c r="Y87" s="492">
        <v>0</v>
      </c>
      <c r="Z87" s="492">
        <f t="shared" ref="Z87:Z88" si="146">W87+X87+Y87</f>
        <v>0</v>
      </c>
      <c r="AA87" s="492">
        <f t="shared" ref="AA87:AA88" si="147">V87+Z87</f>
        <v>0</v>
      </c>
      <c r="AB87" s="494">
        <f t="shared" ref="AB87:AB88" si="148">ROUND((V87+Z87)*33.8%,0)</f>
        <v>0</v>
      </c>
      <c r="AC87" s="494">
        <f>ROUND(V87*1%,0)</f>
        <v>0</v>
      </c>
      <c r="AD87" s="14">
        <v>0</v>
      </c>
      <c r="AE87" s="753">
        <f t="shared" si="128"/>
        <v>0</v>
      </c>
      <c r="AF87" s="858">
        <v>0</v>
      </c>
      <c r="AG87" s="491">
        <v>0</v>
      </c>
      <c r="AH87" s="491">
        <v>0</v>
      </c>
      <c r="AI87" s="491">
        <v>0</v>
      </c>
      <c r="AJ87" s="491">
        <v>0</v>
      </c>
      <c r="AK87" s="491">
        <v>0</v>
      </c>
      <c r="AL87" s="609">
        <f>SUM(AF87:AK87)</f>
        <v>0</v>
      </c>
      <c r="AM87" s="676">
        <f>I87+AE87</f>
        <v>4812223</v>
      </c>
      <c r="AN87" s="492">
        <f>J87+V87</f>
        <v>3569898</v>
      </c>
      <c r="AO87" s="492">
        <f t="shared" ref="AO87:AO88" si="149">K87+Z87</f>
        <v>0</v>
      </c>
      <c r="AP87" s="492">
        <f t="shared" ref="AP87:AR88" si="150">L87+AB87</f>
        <v>1206626</v>
      </c>
      <c r="AQ87" s="492">
        <f t="shared" si="150"/>
        <v>35699</v>
      </c>
      <c r="AR87" s="573">
        <f t="shared" si="150"/>
        <v>0</v>
      </c>
      <c r="AS87" s="609">
        <f>O87+AL87</f>
        <v>6</v>
      </c>
    </row>
    <row r="88" spans="1:45" ht="14.1" customHeight="1" x14ac:dyDescent="0.2">
      <c r="A88" s="499">
        <v>27</v>
      </c>
      <c r="B88" s="511">
        <v>2443</v>
      </c>
      <c r="C88" s="512">
        <v>600079309</v>
      </c>
      <c r="D88" s="511">
        <v>72743051</v>
      </c>
      <c r="E88" s="510" t="s">
        <v>570</v>
      </c>
      <c r="F88" s="499">
        <v>3111</v>
      </c>
      <c r="G88" s="513" t="s">
        <v>278</v>
      </c>
      <c r="H88" s="495" t="s">
        <v>263</v>
      </c>
      <c r="I88" s="610">
        <v>0</v>
      </c>
      <c r="J88" s="490">
        <v>0</v>
      </c>
      <c r="K88" s="490">
        <v>0</v>
      </c>
      <c r="L88" s="14">
        <v>0</v>
      </c>
      <c r="M88" s="14">
        <v>0</v>
      </c>
      <c r="N88" s="14">
        <v>0</v>
      </c>
      <c r="O88" s="664">
        <v>0</v>
      </c>
      <c r="P88" s="676">
        <f t="shared" si="127"/>
        <v>0</v>
      </c>
      <c r="Q88" s="492">
        <v>0</v>
      </c>
      <c r="R88" s="492">
        <v>0</v>
      </c>
      <c r="S88" s="492">
        <v>0</v>
      </c>
      <c r="T88" s="492">
        <v>0</v>
      </c>
      <c r="U88" s="492">
        <v>0</v>
      </c>
      <c r="V88" s="492">
        <f>P88+Q88+R88+S88+T88+U88</f>
        <v>0</v>
      </c>
      <c r="W88" s="492">
        <v>0</v>
      </c>
      <c r="X88" s="492">
        <v>0</v>
      </c>
      <c r="Y88" s="492">
        <v>0</v>
      </c>
      <c r="Z88" s="492">
        <f t="shared" si="146"/>
        <v>0</v>
      </c>
      <c r="AA88" s="492">
        <f t="shared" si="147"/>
        <v>0</v>
      </c>
      <c r="AB88" s="494">
        <f t="shared" si="148"/>
        <v>0</v>
      </c>
      <c r="AC88" s="494">
        <f>ROUND(V88*1%,0)</f>
        <v>0</v>
      </c>
      <c r="AD88" s="14">
        <v>0</v>
      </c>
      <c r="AE88" s="753">
        <f t="shared" si="128"/>
        <v>0</v>
      </c>
      <c r="AF88" s="858">
        <v>0</v>
      </c>
      <c r="AG88" s="491">
        <v>0</v>
      </c>
      <c r="AH88" s="491">
        <v>0</v>
      </c>
      <c r="AI88" s="491">
        <v>0</v>
      </c>
      <c r="AJ88" s="491">
        <v>0</v>
      </c>
      <c r="AK88" s="491">
        <v>0</v>
      </c>
      <c r="AL88" s="609">
        <f>SUM(AF88:AK88)</f>
        <v>0</v>
      </c>
      <c r="AM88" s="676">
        <f>I88+AE88</f>
        <v>0</v>
      </c>
      <c r="AN88" s="492">
        <f>J88+V88</f>
        <v>0</v>
      </c>
      <c r="AO88" s="492">
        <f t="shared" si="149"/>
        <v>0</v>
      </c>
      <c r="AP88" s="492">
        <f t="shared" si="150"/>
        <v>0</v>
      </c>
      <c r="AQ88" s="492">
        <f t="shared" si="150"/>
        <v>0</v>
      </c>
      <c r="AR88" s="573">
        <f t="shared" si="150"/>
        <v>0</v>
      </c>
      <c r="AS88" s="609">
        <f>O88+AL88</f>
        <v>0</v>
      </c>
    </row>
    <row r="89" spans="1:45" ht="14.1" customHeight="1" x14ac:dyDescent="0.2">
      <c r="A89" s="509">
        <v>27</v>
      </c>
      <c r="B89" s="507">
        <v>2443</v>
      </c>
      <c r="C89" s="508">
        <v>600079309</v>
      </c>
      <c r="D89" s="507">
        <v>72743051</v>
      </c>
      <c r="E89" s="505" t="s">
        <v>571</v>
      </c>
      <c r="F89" s="509"/>
      <c r="G89" s="505"/>
      <c r="H89" s="504"/>
      <c r="I89" s="612">
        <v>4812223</v>
      </c>
      <c r="J89" s="503">
        <v>3569898</v>
      </c>
      <c r="K89" s="503">
        <v>0</v>
      </c>
      <c r="L89" s="503">
        <v>1206626</v>
      </c>
      <c r="M89" s="503">
        <v>35699</v>
      </c>
      <c r="N89" s="503">
        <v>0</v>
      </c>
      <c r="O89" s="837">
        <v>6</v>
      </c>
      <c r="P89" s="612">
        <f t="shared" ref="P89:AS89" si="151">SUM(P87:P88)</f>
        <v>0</v>
      </c>
      <c r="Q89" s="502">
        <f t="shared" si="151"/>
        <v>0</v>
      </c>
      <c r="R89" s="502">
        <f t="shared" si="151"/>
        <v>0</v>
      </c>
      <c r="S89" s="502">
        <f t="shared" si="151"/>
        <v>0</v>
      </c>
      <c r="T89" s="502">
        <f t="shared" si="151"/>
        <v>0</v>
      </c>
      <c r="U89" s="502">
        <f t="shared" si="151"/>
        <v>0</v>
      </c>
      <c r="V89" s="502">
        <f t="shared" si="151"/>
        <v>0</v>
      </c>
      <c r="W89" s="502">
        <f t="shared" si="151"/>
        <v>0</v>
      </c>
      <c r="X89" s="502">
        <f t="shared" si="151"/>
        <v>0</v>
      </c>
      <c r="Y89" s="502">
        <f t="shared" si="151"/>
        <v>0</v>
      </c>
      <c r="Z89" s="502">
        <f t="shared" si="151"/>
        <v>0</v>
      </c>
      <c r="AA89" s="502">
        <f t="shared" si="151"/>
        <v>0</v>
      </c>
      <c r="AB89" s="502">
        <f t="shared" si="151"/>
        <v>0</v>
      </c>
      <c r="AC89" s="502">
        <f t="shared" si="151"/>
        <v>0</v>
      </c>
      <c r="AD89" s="502">
        <f t="shared" si="151"/>
        <v>0</v>
      </c>
      <c r="AE89" s="852">
        <f t="shared" si="151"/>
        <v>0</v>
      </c>
      <c r="AF89" s="857">
        <f t="shared" si="151"/>
        <v>0</v>
      </c>
      <c r="AG89" s="848">
        <f t="shared" si="151"/>
        <v>0</v>
      </c>
      <c r="AH89" s="848">
        <f t="shared" si="151"/>
        <v>0</v>
      </c>
      <c r="AI89" s="848">
        <f t="shared" si="151"/>
        <v>0</v>
      </c>
      <c r="AJ89" s="848">
        <f t="shared" si="151"/>
        <v>0</v>
      </c>
      <c r="AK89" s="848">
        <f t="shared" si="151"/>
        <v>0</v>
      </c>
      <c r="AL89" s="613">
        <f t="shared" si="151"/>
        <v>0</v>
      </c>
      <c r="AM89" s="612">
        <f t="shared" si="151"/>
        <v>4812223</v>
      </c>
      <c r="AN89" s="502">
        <f t="shared" si="151"/>
        <v>3569898</v>
      </c>
      <c r="AO89" s="549">
        <f t="shared" si="151"/>
        <v>0</v>
      </c>
      <c r="AP89" s="502">
        <f t="shared" si="151"/>
        <v>1206626</v>
      </c>
      <c r="AQ89" s="502">
        <f t="shared" si="151"/>
        <v>35699</v>
      </c>
      <c r="AR89" s="502">
        <f t="shared" si="151"/>
        <v>0</v>
      </c>
      <c r="AS89" s="613">
        <f t="shared" si="151"/>
        <v>6</v>
      </c>
    </row>
    <row r="90" spans="1:45" ht="14.1" customHeight="1" x14ac:dyDescent="0.2">
      <c r="A90" s="499">
        <v>28</v>
      </c>
      <c r="B90" s="511">
        <v>2425</v>
      </c>
      <c r="C90" s="512">
        <v>600079333</v>
      </c>
      <c r="D90" s="511">
        <v>72741864</v>
      </c>
      <c r="E90" s="510" t="s">
        <v>572</v>
      </c>
      <c r="F90" s="499">
        <v>3111</v>
      </c>
      <c r="G90" s="510" t="s">
        <v>277</v>
      </c>
      <c r="H90" s="495" t="s">
        <v>262</v>
      </c>
      <c r="I90" s="610">
        <v>3185046</v>
      </c>
      <c r="J90" s="14">
        <v>2362794</v>
      </c>
      <c r="K90" s="14">
        <v>0</v>
      </c>
      <c r="L90" s="14">
        <v>798624</v>
      </c>
      <c r="M90" s="14">
        <v>23628</v>
      </c>
      <c r="N90" s="14">
        <v>0</v>
      </c>
      <c r="O90" s="121">
        <v>4</v>
      </c>
      <c r="P90" s="676">
        <f t="shared" si="127"/>
        <v>0</v>
      </c>
      <c r="Q90" s="492">
        <v>0</v>
      </c>
      <c r="R90" s="492">
        <v>0</v>
      </c>
      <c r="S90" s="492">
        <v>0</v>
      </c>
      <c r="T90" s="492">
        <v>0</v>
      </c>
      <c r="U90" s="492">
        <v>0</v>
      </c>
      <c r="V90" s="492">
        <f>P90+Q90+R90+S90+T90+U90</f>
        <v>0</v>
      </c>
      <c r="W90" s="492">
        <v>0</v>
      </c>
      <c r="X90" s="492">
        <v>0</v>
      </c>
      <c r="Y90" s="492">
        <v>0</v>
      </c>
      <c r="Z90" s="492">
        <f t="shared" ref="Z90" si="152">W90+X90+Y90</f>
        <v>0</v>
      </c>
      <c r="AA90" s="492">
        <f t="shared" ref="AA90" si="153">V90+Z90</f>
        <v>0</v>
      </c>
      <c r="AB90" s="494">
        <f t="shared" ref="AB90" si="154">ROUND((V90+Z90)*33.8%,0)</f>
        <v>0</v>
      </c>
      <c r="AC90" s="494">
        <f>ROUND(V90*1%,0)</f>
        <v>0</v>
      </c>
      <c r="AD90" s="14">
        <v>0</v>
      </c>
      <c r="AE90" s="753">
        <f t="shared" si="128"/>
        <v>0</v>
      </c>
      <c r="AF90" s="858">
        <v>0</v>
      </c>
      <c r="AG90" s="491">
        <v>0</v>
      </c>
      <c r="AH90" s="491">
        <v>0</v>
      </c>
      <c r="AI90" s="491">
        <v>0</v>
      </c>
      <c r="AJ90" s="491">
        <v>0</v>
      </c>
      <c r="AK90" s="491">
        <v>0</v>
      </c>
      <c r="AL90" s="609">
        <f>SUM(AF90:AK90)</f>
        <v>0</v>
      </c>
      <c r="AM90" s="676">
        <f>I90+AE90</f>
        <v>3185046</v>
      </c>
      <c r="AN90" s="492">
        <f>J90+V90</f>
        <v>2362794</v>
      </c>
      <c r="AO90" s="492">
        <f>K90+Z90</f>
        <v>0</v>
      </c>
      <c r="AP90" s="492">
        <f>L90+AB90</f>
        <v>798624</v>
      </c>
      <c r="AQ90" s="492">
        <f>M90+AC90</f>
        <v>23628</v>
      </c>
      <c r="AR90" s="573">
        <f>N90+AD90</f>
        <v>0</v>
      </c>
      <c r="AS90" s="609">
        <f>O90+AL90</f>
        <v>4</v>
      </c>
    </row>
    <row r="91" spans="1:45" ht="14.1" customHeight="1" x14ac:dyDescent="0.2">
      <c r="A91" s="509">
        <v>28</v>
      </c>
      <c r="B91" s="507">
        <v>2425</v>
      </c>
      <c r="C91" s="508">
        <v>600079333</v>
      </c>
      <c r="D91" s="507">
        <v>72741864</v>
      </c>
      <c r="E91" s="505" t="s">
        <v>573</v>
      </c>
      <c r="F91" s="509"/>
      <c r="G91" s="505"/>
      <c r="H91" s="504"/>
      <c r="I91" s="612">
        <v>3185046</v>
      </c>
      <c r="J91" s="503">
        <v>2362794</v>
      </c>
      <c r="K91" s="503">
        <v>0</v>
      </c>
      <c r="L91" s="503">
        <v>798624</v>
      </c>
      <c r="M91" s="503">
        <v>23628</v>
      </c>
      <c r="N91" s="503">
        <v>0</v>
      </c>
      <c r="O91" s="837">
        <v>4</v>
      </c>
      <c r="P91" s="612">
        <f t="shared" ref="P91:AS91" si="155">SUM(P90:P90)</f>
        <v>0</v>
      </c>
      <c r="Q91" s="502">
        <f t="shared" si="155"/>
        <v>0</v>
      </c>
      <c r="R91" s="502">
        <f t="shared" si="155"/>
        <v>0</v>
      </c>
      <c r="S91" s="502">
        <f t="shared" si="155"/>
        <v>0</v>
      </c>
      <c r="T91" s="502">
        <f t="shared" si="155"/>
        <v>0</v>
      </c>
      <c r="U91" s="502">
        <f t="shared" si="155"/>
        <v>0</v>
      </c>
      <c r="V91" s="502">
        <f t="shared" si="155"/>
        <v>0</v>
      </c>
      <c r="W91" s="502">
        <f t="shared" si="155"/>
        <v>0</v>
      </c>
      <c r="X91" s="502">
        <f t="shared" si="155"/>
        <v>0</v>
      </c>
      <c r="Y91" s="502">
        <f t="shared" si="155"/>
        <v>0</v>
      </c>
      <c r="Z91" s="502">
        <f t="shared" si="155"/>
        <v>0</v>
      </c>
      <c r="AA91" s="502">
        <f t="shared" si="155"/>
        <v>0</v>
      </c>
      <c r="AB91" s="502">
        <f t="shared" si="155"/>
        <v>0</v>
      </c>
      <c r="AC91" s="502">
        <f t="shared" si="155"/>
        <v>0</v>
      </c>
      <c r="AD91" s="502">
        <f t="shared" si="155"/>
        <v>0</v>
      </c>
      <c r="AE91" s="852">
        <f t="shared" si="155"/>
        <v>0</v>
      </c>
      <c r="AF91" s="857">
        <f t="shared" si="155"/>
        <v>0</v>
      </c>
      <c r="AG91" s="848">
        <f t="shared" si="155"/>
        <v>0</v>
      </c>
      <c r="AH91" s="848">
        <f t="shared" si="155"/>
        <v>0</v>
      </c>
      <c r="AI91" s="848">
        <f t="shared" si="155"/>
        <v>0</v>
      </c>
      <c r="AJ91" s="848">
        <f t="shared" si="155"/>
        <v>0</v>
      </c>
      <c r="AK91" s="848">
        <f t="shared" si="155"/>
        <v>0</v>
      </c>
      <c r="AL91" s="613">
        <f t="shared" si="155"/>
        <v>0</v>
      </c>
      <c r="AM91" s="612">
        <f t="shared" si="155"/>
        <v>3185046</v>
      </c>
      <c r="AN91" s="502">
        <f t="shared" si="155"/>
        <v>2362794</v>
      </c>
      <c r="AO91" s="549">
        <f t="shared" si="155"/>
        <v>0</v>
      </c>
      <c r="AP91" s="502">
        <f t="shared" si="155"/>
        <v>798624</v>
      </c>
      <c r="AQ91" s="502">
        <f t="shared" si="155"/>
        <v>23628</v>
      </c>
      <c r="AR91" s="502">
        <f t="shared" si="155"/>
        <v>0</v>
      </c>
      <c r="AS91" s="613">
        <f t="shared" si="155"/>
        <v>4</v>
      </c>
    </row>
    <row r="92" spans="1:45" ht="14.1" customHeight="1" x14ac:dyDescent="0.2">
      <c r="A92" s="499">
        <v>29</v>
      </c>
      <c r="B92" s="511">
        <v>2433</v>
      </c>
      <c r="C92" s="512">
        <v>600079643</v>
      </c>
      <c r="D92" s="511">
        <v>66113334</v>
      </c>
      <c r="E92" s="510" t="s">
        <v>574</v>
      </c>
      <c r="F92" s="499">
        <v>3111</v>
      </c>
      <c r="G92" s="510" t="s">
        <v>277</v>
      </c>
      <c r="H92" s="495" t="s">
        <v>262</v>
      </c>
      <c r="I92" s="610">
        <v>6600280</v>
      </c>
      <c r="J92" s="14">
        <v>4896350</v>
      </c>
      <c r="K92" s="14">
        <v>0</v>
      </c>
      <c r="L92" s="14">
        <v>1654966</v>
      </c>
      <c r="M92" s="14">
        <v>48964</v>
      </c>
      <c r="N92" s="14">
        <v>0</v>
      </c>
      <c r="O92" s="121">
        <v>8.4192999999999998</v>
      </c>
      <c r="P92" s="676">
        <f t="shared" si="127"/>
        <v>0</v>
      </c>
      <c r="Q92" s="492">
        <v>0</v>
      </c>
      <c r="R92" s="492">
        <v>0</v>
      </c>
      <c r="S92" s="492">
        <v>0</v>
      </c>
      <c r="T92" s="492">
        <v>0</v>
      </c>
      <c r="U92" s="492">
        <v>0</v>
      </c>
      <c r="V92" s="492">
        <f>P92+Q92+R92+S92+T92+U92</f>
        <v>0</v>
      </c>
      <c r="W92" s="492">
        <v>0</v>
      </c>
      <c r="X92" s="492">
        <v>0</v>
      </c>
      <c r="Y92" s="492">
        <v>0</v>
      </c>
      <c r="Z92" s="492">
        <f t="shared" ref="Z92:Z93" si="156">W92+X92+Y92</f>
        <v>0</v>
      </c>
      <c r="AA92" s="492">
        <f t="shared" ref="AA92:AA93" si="157">V92+Z92</f>
        <v>0</v>
      </c>
      <c r="AB92" s="494">
        <f t="shared" ref="AB92:AB93" si="158">ROUND((V92+Z92)*33.8%,0)</f>
        <v>0</v>
      </c>
      <c r="AC92" s="494">
        <f>ROUND(V92*1%,0)</f>
        <v>0</v>
      </c>
      <c r="AD92" s="14">
        <v>0</v>
      </c>
      <c r="AE92" s="753">
        <f t="shared" si="128"/>
        <v>0</v>
      </c>
      <c r="AF92" s="858">
        <v>0</v>
      </c>
      <c r="AG92" s="491">
        <v>0</v>
      </c>
      <c r="AH92" s="491">
        <v>0</v>
      </c>
      <c r="AI92" s="491">
        <v>0</v>
      </c>
      <c r="AJ92" s="491">
        <v>0</v>
      </c>
      <c r="AK92" s="491">
        <v>0</v>
      </c>
      <c r="AL92" s="609">
        <f>SUM(AF92:AK92)</f>
        <v>0</v>
      </c>
      <c r="AM92" s="676">
        <f>I92+AE92</f>
        <v>6600280</v>
      </c>
      <c r="AN92" s="492">
        <f>J92+V92</f>
        <v>4896350</v>
      </c>
      <c r="AO92" s="492">
        <f t="shared" ref="AO92:AO93" si="159">K92+Z92</f>
        <v>0</v>
      </c>
      <c r="AP92" s="492">
        <f t="shared" ref="AP92:AR93" si="160">L92+AB92</f>
        <v>1654966</v>
      </c>
      <c r="AQ92" s="492">
        <f t="shared" si="160"/>
        <v>48964</v>
      </c>
      <c r="AR92" s="573">
        <f t="shared" si="160"/>
        <v>0</v>
      </c>
      <c r="AS92" s="609">
        <f>O92+AL92</f>
        <v>8.4192999999999998</v>
      </c>
    </row>
    <row r="93" spans="1:45" ht="14.1" customHeight="1" x14ac:dyDescent="0.2">
      <c r="A93" s="499">
        <v>29</v>
      </c>
      <c r="B93" s="511">
        <v>2433</v>
      </c>
      <c r="C93" s="512">
        <v>600079643</v>
      </c>
      <c r="D93" s="511">
        <v>66113334</v>
      </c>
      <c r="E93" s="510" t="s">
        <v>574</v>
      </c>
      <c r="F93" s="499">
        <v>3111</v>
      </c>
      <c r="G93" s="510" t="s">
        <v>278</v>
      </c>
      <c r="H93" s="495" t="s">
        <v>263</v>
      </c>
      <c r="I93" s="610">
        <v>1277941</v>
      </c>
      <c r="J93" s="490">
        <v>948028</v>
      </c>
      <c r="K93" s="490">
        <v>0</v>
      </c>
      <c r="L93" s="14">
        <v>320433</v>
      </c>
      <c r="M93" s="14">
        <v>9480</v>
      </c>
      <c r="N93" s="14">
        <v>0</v>
      </c>
      <c r="O93" s="664">
        <v>2.39</v>
      </c>
      <c r="P93" s="676">
        <f t="shared" si="127"/>
        <v>0</v>
      </c>
      <c r="Q93" s="492">
        <v>0</v>
      </c>
      <c r="R93" s="492">
        <v>0</v>
      </c>
      <c r="S93" s="492">
        <v>0</v>
      </c>
      <c r="T93" s="492">
        <v>0</v>
      </c>
      <c r="U93" s="492">
        <v>0</v>
      </c>
      <c r="V93" s="492">
        <f>P93+Q93+R93+S93+T93+U93</f>
        <v>0</v>
      </c>
      <c r="W93" s="492">
        <v>0</v>
      </c>
      <c r="X93" s="492">
        <v>0</v>
      </c>
      <c r="Y93" s="492">
        <v>0</v>
      </c>
      <c r="Z93" s="492">
        <f t="shared" si="156"/>
        <v>0</v>
      </c>
      <c r="AA93" s="492">
        <f t="shared" si="157"/>
        <v>0</v>
      </c>
      <c r="AB93" s="494">
        <f t="shared" si="158"/>
        <v>0</v>
      </c>
      <c r="AC93" s="494">
        <f>ROUND(V93*1%,0)</f>
        <v>0</v>
      </c>
      <c r="AD93" s="14">
        <v>0</v>
      </c>
      <c r="AE93" s="753">
        <f t="shared" si="128"/>
        <v>0</v>
      </c>
      <c r="AF93" s="858">
        <v>0</v>
      </c>
      <c r="AG93" s="491">
        <v>0</v>
      </c>
      <c r="AH93" s="491">
        <v>0</v>
      </c>
      <c r="AI93" s="491">
        <v>0</v>
      </c>
      <c r="AJ93" s="491">
        <v>0</v>
      </c>
      <c r="AK93" s="491">
        <v>0</v>
      </c>
      <c r="AL93" s="609">
        <f>SUM(AF93:AK93)</f>
        <v>0</v>
      </c>
      <c r="AM93" s="676">
        <f>I93+AE93</f>
        <v>1277941</v>
      </c>
      <c r="AN93" s="492">
        <f>J93+V93</f>
        <v>948028</v>
      </c>
      <c r="AO93" s="492">
        <f t="shared" si="159"/>
        <v>0</v>
      </c>
      <c r="AP93" s="492">
        <f t="shared" si="160"/>
        <v>320433</v>
      </c>
      <c r="AQ93" s="492">
        <f t="shared" si="160"/>
        <v>9480</v>
      </c>
      <c r="AR93" s="573">
        <f t="shared" si="160"/>
        <v>0</v>
      </c>
      <c r="AS93" s="609">
        <f>O93+AL93</f>
        <v>2.39</v>
      </c>
    </row>
    <row r="94" spans="1:45" ht="14.1" customHeight="1" x14ac:dyDescent="0.2">
      <c r="A94" s="509">
        <v>29</v>
      </c>
      <c r="B94" s="507">
        <v>2433</v>
      </c>
      <c r="C94" s="508">
        <v>600079643</v>
      </c>
      <c r="D94" s="507">
        <v>66113334</v>
      </c>
      <c r="E94" s="505" t="s">
        <v>575</v>
      </c>
      <c r="F94" s="509"/>
      <c r="G94" s="505"/>
      <c r="H94" s="504"/>
      <c r="I94" s="612">
        <v>7878221</v>
      </c>
      <c r="J94" s="503">
        <v>5844378</v>
      </c>
      <c r="K94" s="503">
        <v>0</v>
      </c>
      <c r="L94" s="503">
        <v>1975399</v>
      </c>
      <c r="M94" s="503">
        <v>58444</v>
      </c>
      <c r="N94" s="503">
        <v>0</v>
      </c>
      <c r="O94" s="837">
        <v>10.8093</v>
      </c>
      <c r="P94" s="612">
        <f t="shared" ref="P94:AS94" si="161">SUM(P92:P93)</f>
        <v>0</v>
      </c>
      <c r="Q94" s="502">
        <f t="shared" si="161"/>
        <v>0</v>
      </c>
      <c r="R94" s="502">
        <f t="shared" si="161"/>
        <v>0</v>
      </c>
      <c r="S94" s="502">
        <f t="shared" si="161"/>
        <v>0</v>
      </c>
      <c r="T94" s="502">
        <f t="shared" si="161"/>
        <v>0</v>
      </c>
      <c r="U94" s="502">
        <f t="shared" si="161"/>
        <v>0</v>
      </c>
      <c r="V94" s="502">
        <f t="shared" si="161"/>
        <v>0</v>
      </c>
      <c r="W94" s="502">
        <f t="shared" si="161"/>
        <v>0</v>
      </c>
      <c r="X94" s="502">
        <f t="shared" si="161"/>
        <v>0</v>
      </c>
      <c r="Y94" s="502">
        <f t="shared" si="161"/>
        <v>0</v>
      </c>
      <c r="Z94" s="502">
        <f t="shared" si="161"/>
        <v>0</v>
      </c>
      <c r="AA94" s="502">
        <f t="shared" si="161"/>
        <v>0</v>
      </c>
      <c r="AB94" s="502">
        <f t="shared" si="161"/>
        <v>0</v>
      </c>
      <c r="AC94" s="502">
        <f t="shared" si="161"/>
        <v>0</v>
      </c>
      <c r="AD94" s="502">
        <f t="shared" si="161"/>
        <v>0</v>
      </c>
      <c r="AE94" s="852">
        <f t="shared" si="161"/>
        <v>0</v>
      </c>
      <c r="AF94" s="857">
        <f t="shared" si="161"/>
        <v>0</v>
      </c>
      <c r="AG94" s="848">
        <f t="shared" si="161"/>
        <v>0</v>
      </c>
      <c r="AH94" s="848">
        <f t="shared" si="161"/>
        <v>0</v>
      </c>
      <c r="AI94" s="848">
        <f t="shared" si="161"/>
        <v>0</v>
      </c>
      <c r="AJ94" s="848">
        <f t="shared" si="161"/>
        <v>0</v>
      </c>
      <c r="AK94" s="848">
        <f t="shared" si="161"/>
        <v>0</v>
      </c>
      <c r="AL94" s="613">
        <f t="shared" si="161"/>
        <v>0</v>
      </c>
      <c r="AM94" s="612">
        <f t="shared" si="161"/>
        <v>7878221</v>
      </c>
      <c r="AN94" s="502">
        <f t="shared" si="161"/>
        <v>5844378</v>
      </c>
      <c r="AO94" s="549">
        <f t="shared" si="161"/>
        <v>0</v>
      </c>
      <c r="AP94" s="502">
        <f t="shared" si="161"/>
        <v>1975399</v>
      </c>
      <c r="AQ94" s="502">
        <f t="shared" si="161"/>
        <v>58444</v>
      </c>
      <c r="AR94" s="502">
        <f t="shared" si="161"/>
        <v>0</v>
      </c>
      <c r="AS94" s="613">
        <f t="shared" si="161"/>
        <v>10.8093</v>
      </c>
    </row>
    <row r="95" spans="1:45" ht="14.1" customHeight="1" x14ac:dyDescent="0.2">
      <c r="A95" s="499">
        <v>30</v>
      </c>
      <c r="B95" s="511">
        <v>2435</v>
      </c>
      <c r="C95" s="512">
        <v>600079341</v>
      </c>
      <c r="D95" s="511">
        <v>72743069</v>
      </c>
      <c r="E95" s="510" t="s">
        <v>576</v>
      </c>
      <c r="F95" s="499">
        <v>3111</v>
      </c>
      <c r="G95" s="510" t="s">
        <v>277</v>
      </c>
      <c r="H95" s="495" t="s">
        <v>262</v>
      </c>
      <c r="I95" s="610">
        <v>6856747</v>
      </c>
      <c r="J95" s="14">
        <v>5086607</v>
      </c>
      <c r="K95" s="14">
        <v>0</v>
      </c>
      <c r="L95" s="14">
        <v>1719274</v>
      </c>
      <c r="M95" s="14">
        <v>50866</v>
      </c>
      <c r="N95" s="14">
        <v>0</v>
      </c>
      <c r="O95" s="121">
        <v>8.0731000000000002</v>
      </c>
      <c r="P95" s="676">
        <f t="shared" si="127"/>
        <v>0</v>
      </c>
      <c r="Q95" s="492">
        <v>0</v>
      </c>
      <c r="R95" s="492">
        <v>0</v>
      </c>
      <c r="S95" s="492">
        <v>0</v>
      </c>
      <c r="T95" s="492">
        <v>0</v>
      </c>
      <c r="U95" s="492">
        <v>0</v>
      </c>
      <c r="V95" s="492">
        <f>P95+Q95+R95+S95+T95+U95</f>
        <v>0</v>
      </c>
      <c r="W95" s="492">
        <v>0</v>
      </c>
      <c r="X95" s="492">
        <v>0</v>
      </c>
      <c r="Y95" s="492">
        <v>0</v>
      </c>
      <c r="Z95" s="492">
        <f t="shared" ref="Z95:Z97" si="162">W95+X95+Y95</f>
        <v>0</v>
      </c>
      <c r="AA95" s="492">
        <f t="shared" ref="AA95:AA97" si="163">V95+Z95</f>
        <v>0</v>
      </c>
      <c r="AB95" s="494">
        <f t="shared" ref="AB95:AB97" si="164">ROUND((V95+Z95)*33.8%,0)</f>
        <v>0</v>
      </c>
      <c r="AC95" s="494">
        <f>ROUND(V95*1%,0)</f>
        <v>0</v>
      </c>
      <c r="AD95" s="14">
        <v>0</v>
      </c>
      <c r="AE95" s="753">
        <f t="shared" si="128"/>
        <v>0</v>
      </c>
      <c r="AF95" s="858">
        <v>0</v>
      </c>
      <c r="AG95" s="491">
        <v>0</v>
      </c>
      <c r="AH95" s="491">
        <v>0</v>
      </c>
      <c r="AI95" s="491">
        <v>0</v>
      </c>
      <c r="AJ95" s="491">
        <v>0</v>
      </c>
      <c r="AK95" s="491">
        <v>0</v>
      </c>
      <c r="AL95" s="609">
        <f>SUM(AF95:AK95)</f>
        <v>0</v>
      </c>
      <c r="AM95" s="676">
        <f>I95+AE95</f>
        <v>6856747</v>
      </c>
      <c r="AN95" s="492">
        <f>J95+V95</f>
        <v>5086607</v>
      </c>
      <c r="AO95" s="492">
        <f t="shared" ref="AO95:AO97" si="165">K95+Z95</f>
        <v>0</v>
      </c>
      <c r="AP95" s="492">
        <f t="shared" ref="AP95:AR97" si="166">L95+AB95</f>
        <v>1719274</v>
      </c>
      <c r="AQ95" s="492">
        <f t="shared" si="166"/>
        <v>50866</v>
      </c>
      <c r="AR95" s="573">
        <f t="shared" si="166"/>
        <v>0</v>
      </c>
      <c r="AS95" s="609">
        <f>O95+AL95</f>
        <v>8.0731000000000002</v>
      </c>
    </row>
    <row r="96" spans="1:45" ht="14.1" customHeight="1" x14ac:dyDescent="0.2">
      <c r="A96" s="499">
        <v>30</v>
      </c>
      <c r="B96" s="511">
        <v>2435</v>
      </c>
      <c r="C96" s="512">
        <v>600079341</v>
      </c>
      <c r="D96" s="511">
        <v>72743069</v>
      </c>
      <c r="E96" s="510" t="s">
        <v>576</v>
      </c>
      <c r="F96" s="499">
        <v>3111</v>
      </c>
      <c r="G96" s="39" t="s">
        <v>279</v>
      </c>
      <c r="H96" s="495" t="s">
        <v>262</v>
      </c>
      <c r="I96" s="610">
        <v>512149</v>
      </c>
      <c r="J96" s="14">
        <v>379933</v>
      </c>
      <c r="K96" s="14">
        <v>0</v>
      </c>
      <c r="L96" s="14">
        <v>128417</v>
      </c>
      <c r="M96" s="14">
        <v>3799</v>
      </c>
      <c r="N96" s="14">
        <v>0</v>
      </c>
      <c r="O96" s="121">
        <v>0.9</v>
      </c>
      <c r="P96" s="676">
        <f t="shared" si="127"/>
        <v>0</v>
      </c>
      <c r="Q96" s="492">
        <v>0</v>
      </c>
      <c r="R96" s="492">
        <v>0</v>
      </c>
      <c r="S96" s="492">
        <v>0</v>
      </c>
      <c r="T96" s="492">
        <v>0</v>
      </c>
      <c r="U96" s="492">
        <v>0</v>
      </c>
      <c r="V96" s="492">
        <f>P96+Q96+R96+S96+T96+U96</f>
        <v>0</v>
      </c>
      <c r="W96" s="492">
        <v>0</v>
      </c>
      <c r="X96" s="492">
        <v>0</v>
      </c>
      <c r="Y96" s="492">
        <v>0</v>
      </c>
      <c r="Z96" s="492">
        <f t="shared" si="162"/>
        <v>0</v>
      </c>
      <c r="AA96" s="492">
        <f t="shared" si="163"/>
        <v>0</v>
      </c>
      <c r="AB96" s="494">
        <f t="shared" si="164"/>
        <v>0</v>
      </c>
      <c r="AC96" s="494">
        <f>ROUND(V96*1%,0)</f>
        <v>0</v>
      </c>
      <c r="AD96" s="14">
        <v>0</v>
      </c>
      <c r="AE96" s="753">
        <f t="shared" si="128"/>
        <v>0</v>
      </c>
      <c r="AF96" s="858">
        <v>0</v>
      </c>
      <c r="AG96" s="491">
        <v>0</v>
      </c>
      <c r="AH96" s="491">
        <v>0</v>
      </c>
      <c r="AI96" s="491">
        <v>0</v>
      </c>
      <c r="AJ96" s="491">
        <v>0</v>
      </c>
      <c r="AK96" s="491">
        <v>0</v>
      </c>
      <c r="AL96" s="609">
        <f>SUM(AF96:AK96)</f>
        <v>0</v>
      </c>
      <c r="AM96" s="676">
        <f>I96+AE96</f>
        <v>512149</v>
      </c>
      <c r="AN96" s="492">
        <f>J96+V96</f>
        <v>379933</v>
      </c>
      <c r="AO96" s="492">
        <f t="shared" si="165"/>
        <v>0</v>
      </c>
      <c r="AP96" s="492">
        <f t="shared" si="166"/>
        <v>128417</v>
      </c>
      <c r="AQ96" s="492">
        <f t="shared" si="166"/>
        <v>3799</v>
      </c>
      <c r="AR96" s="573">
        <f t="shared" si="166"/>
        <v>0</v>
      </c>
      <c r="AS96" s="609">
        <f>O96+AL96</f>
        <v>0.9</v>
      </c>
    </row>
    <row r="97" spans="1:45" ht="14.1" customHeight="1" x14ac:dyDescent="0.2">
      <c r="A97" s="499">
        <v>30</v>
      </c>
      <c r="B97" s="511">
        <v>2435</v>
      </c>
      <c r="C97" s="512">
        <v>600079341</v>
      </c>
      <c r="D97" s="511">
        <v>72743069</v>
      </c>
      <c r="E97" s="510" t="s">
        <v>576</v>
      </c>
      <c r="F97" s="499">
        <v>3111</v>
      </c>
      <c r="G97" s="39" t="s">
        <v>278</v>
      </c>
      <c r="H97" s="495" t="s">
        <v>263</v>
      </c>
      <c r="I97" s="610">
        <v>534949</v>
      </c>
      <c r="J97" s="490">
        <v>396847</v>
      </c>
      <c r="K97" s="490">
        <v>0</v>
      </c>
      <c r="L97" s="14">
        <v>134134</v>
      </c>
      <c r="M97" s="14">
        <v>3968</v>
      </c>
      <c r="N97" s="14">
        <v>0</v>
      </c>
      <c r="O97" s="664">
        <v>1</v>
      </c>
      <c r="P97" s="676">
        <f t="shared" si="127"/>
        <v>0</v>
      </c>
      <c r="Q97" s="492">
        <v>0</v>
      </c>
      <c r="R97" s="492">
        <v>0</v>
      </c>
      <c r="S97" s="492">
        <v>0</v>
      </c>
      <c r="T97" s="492">
        <v>0</v>
      </c>
      <c r="U97" s="492">
        <v>0</v>
      </c>
      <c r="V97" s="492">
        <f>P97+Q97+R97+S97+T97+U97</f>
        <v>0</v>
      </c>
      <c r="W97" s="492">
        <v>0</v>
      </c>
      <c r="X97" s="492">
        <v>0</v>
      </c>
      <c r="Y97" s="492">
        <v>0</v>
      </c>
      <c r="Z97" s="492">
        <f t="shared" si="162"/>
        <v>0</v>
      </c>
      <c r="AA97" s="492">
        <f t="shared" si="163"/>
        <v>0</v>
      </c>
      <c r="AB97" s="494">
        <f t="shared" si="164"/>
        <v>0</v>
      </c>
      <c r="AC97" s="494">
        <f>ROUND(V97*1%,0)</f>
        <v>0</v>
      </c>
      <c r="AD97" s="14">
        <v>0</v>
      </c>
      <c r="AE97" s="753">
        <f t="shared" si="128"/>
        <v>0</v>
      </c>
      <c r="AF97" s="858">
        <v>0</v>
      </c>
      <c r="AG97" s="491">
        <v>0</v>
      </c>
      <c r="AH97" s="491">
        <v>0</v>
      </c>
      <c r="AI97" s="491">
        <v>0</v>
      </c>
      <c r="AJ97" s="491">
        <v>0</v>
      </c>
      <c r="AK97" s="491">
        <v>0</v>
      </c>
      <c r="AL97" s="609">
        <f>SUM(AF97:AK97)</f>
        <v>0</v>
      </c>
      <c r="AM97" s="676">
        <f>I97+AE97</f>
        <v>534949</v>
      </c>
      <c r="AN97" s="492">
        <f>J97+V97</f>
        <v>396847</v>
      </c>
      <c r="AO97" s="492">
        <f t="shared" si="165"/>
        <v>0</v>
      </c>
      <c r="AP97" s="492">
        <f t="shared" si="166"/>
        <v>134134</v>
      </c>
      <c r="AQ97" s="492">
        <f t="shared" si="166"/>
        <v>3968</v>
      </c>
      <c r="AR97" s="573">
        <f t="shared" si="166"/>
        <v>0</v>
      </c>
      <c r="AS97" s="609">
        <f>O97+AL97</f>
        <v>1</v>
      </c>
    </row>
    <row r="98" spans="1:45" ht="14.1" customHeight="1" x14ac:dyDescent="0.2">
      <c r="A98" s="509">
        <v>30</v>
      </c>
      <c r="B98" s="507">
        <v>2435</v>
      </c>
      <c r="C98" s="508">
        <v>600079341</v>
      </c>
      <c r="D98" s="507">
        <v>72743069</v>
      </c>
      <c r="E98" s="505" t="s">
        <v>577</v>
      </c>
      <c r="F98" s="509"/>
      <c r="G98" s="505"/>
      <c r="H98" s="504"/>
      <c r="I98" s="612">
        <v>7903845</v>
      </c>
      <c r="J98" s="503">
        <v>5863387</v>
      </c>
      <c r="K98" s="503">
        <v>0</v>
      </c>
      <c r="L98" s="503">
        <v>1981825</v>
      </c>
      <c r="M98" s="503">
        <v>58633</v>
      </c>
      <c r="N98" s="503">
        <v>0</v>
      </c>
      <c r="O98" s="837">
        <v>9.9731000000000005</v>
      </c>
      <c r="P98" s="612">
        <f t="shared" ref="P98:AS98" si="167">SUM(P95:P97)</f>
        <v>0</v>
      </c>
      <c r="Q98" s="502">
        <f t="shared" si="167"/>
        <v>0</v>
      </c>
      <c r="R98" s="502">
        <f t="shared" si="167"/>
        <v>0</v>
      </c>
      <c r="S98" s="502">
        <f t="shared" si="167"/>
        <v>0</v>
      </c>
      <c r="T98" s="502">
        <f t="shared" si="167"/>
        <v>0</v>
      </c>
      <c r="U98" s="502">
        <f t="shared" si="167"/>
        <v>0</v>
      </c>
      <c r="V98" s="502">
        <f t="shared" si="167"/>
        <v>0</v>
      </c>
      <c r="W98" s="502">
        <f t="shared" si="167"/>
        <v>0</v>
      </c>
      <c r="X98" s="502">
        <f t="shared" si="167"/>
        <v>0</v>
      </c>
      <c r="Y98" s="502">
        <f t="shared" si="167"/>
        <v>0</v>
      </c>
      <c r="Z98" s="502">
        <f t="shared" si="167"/>
        <v>0</v>
      </c>
      <c r="AA98" s="502">
        <f t="shared" si="167"/>
        <v>0</v>
      </c>
      <c r="AB98" s="502">
        <f t="shared" si="167"/>
        <v>0</v>
      </c>
      <c r="AC98" s="502">
        <f t="shared" si="167"/>
        <v>0</v>
      </c>
      <c r="AD98" s="502">
        <f t="shared" si="167"/>
        <v>0</v>
      </c>
      <c r="AE98" s="852">
        <f t="shared" si="167"/>
        <v>0</v>
      </c>
      <c r="AF98" s="857">
        <f t="shared" si="167"/>
        <v>0</v>
      </c>
      <c r="AG98" s="848">
        <f t="shared" si="167"/>
        <v>0</v>
      </c>
      <c r="AH98" s="848">
        <f t="shared" si="167"/>
        <v>0</v>
      </c>
      <c r="AI98" s="848">
        <f t="shared" si="167"/>
        <v>0</v>
      </c>
      <c r="AJ98" s="848">
        <f t="shared" si="167"/>
        <v>0</v>
      </c>
      <c r="AK98" s="848">
        <f t="shared" si="167"/>
        <v>0</v>
      </c>
      <c r="AL98" s="613">
        <f t="shared" si="167"/>
        <v>0</v>
      </c>
      <c r="AM98" s="612">
        <f t="shared" si="167"/>
        <v>7903845</v>
      </c>
      <c r="AN98" s="502">
        <f t="shared" si="167"/>
        <v>5863387</v>
      </c>
      <c r="AO98" s="549">
        <f t="shared" si="167"/>
        <v>0</v>
      </c>
      <c r="AP98" s="502">
        <f t="shared" si="167"/>
        <v>1981825</v>
      </c>
      <c r="AQ98" s="502">
        <f t="shared" si="167"/>
        <v>58633</v>
      </c>
      <c r="AR98" s="502">
        <f t="shared" si="167"/>
        <v>0</v>
      </c>
      <c r="AS98" s="613">
        <f t="shared" si="167"/>
        <v>9.9731000000000005</v>
      </c>
    </row>
    <row r="99" spans="1:45" ht="14.1" customHeight="1" x14ac:dyDescent="0.2">
      <c r="A99" s="499">
        <v>31</v>
      </c>
      <c r="B99" s="511">
        <v>2474</v>
      </c>
      <c r="C99" s="512">
        <v>600080307</v>
      </c>
      <c r="D99" s="511">
        <v>65635612</v>
      </c>
      <c r="E99" s="510" t="s">
        <v>578</v>
      </c>
      <c r="F99" s="499">
        <v>3111</v>
      </c>
      <c r="G99" s="510" t="s">
        <v>277</v>
      </c>
      <c r="H99" s="495" t="s">
        <v>262</v>
      </c>
      <c r="I99" s="610">
        <v>3536548</v>
      </c>
      <c r="J99" s="14">
        <v>2613626</v>
      </c>
      <c r="K99" s="14">
        <v>10000</v>
      </c>
      <c r="L99" s="14">
        <v>886786</v>
      </c>
      <c r="M99" s="14">
        <v>26136</v>
      </c>
      <c r="N99" s="14">
        <v>0</v>
      </c>
      <c r="O99" s="121">
        <v>4</v>
      </c>
      <c r="P99" s="676">
        <f t="shared" si="127"/>
        <v>0</v>
      </c>
      <c r="Q99" s="492">
        <v>0</v>
      </c>
      <c r="R99" s="492">
        <v>0</v>
      </c>
      <c r="S99" s="492">
        <v>0</v>
      </c>
      <c r="T99" s="492">
        <v>0</v>
      </c>
      <c r="U99" s="492">
        <v>0</v>
      </c>
      <c r="V99" s="492">
        <f>P99+Q99+R99+S99+T99+U99</f>
        <v>0</v>
      </c>
      <c r="W99" s="492">
        <v>0</v>
      </c>
      <c r="X99" s="492">
        <v>0</v>
      </c>
      <c r="Y99" s="492">
        <v>0</v>
      </c>
      <c r="Z99" s="492">
        <f t="shared" ref="Z99:Z103" si="168">W99+X99+Y99</f>
        <v>0</v>
      </c>
      <c r="AA99" s="492">
        <f t="shared" ref="AA99:AA103" si="169">V99+Z99</f>
        <v>0</v>
      </c>
      <c r="AB99" s="494">
        <f t="shared" ref="AB99:AB103" si="170">ROUND((V99+Z99)*33.8%,0)</f>
        <v>0</v>
      </c>
      <c r="AC99" s="494">
        <f t="shared" ref="AC99:AC103" si="171">ROUND(V99*1%,0)</f>
        <v>0</v>
      </c>
      <c r="AD99" s="14">
        <v>0</v>
      </c>
      <c r="AE99" s="753">
        <f t="shared" si="128"/>
        <v>0</v>
      </c>
      <c r="AF99" s="858">
        <v>0</v>
      </c>
      <c r="AG99" s="491">
        <v>0</v>
      </c>
      <c r="AH99" s="491">
        <v>0</v>
      </c>
      <c r="AI99" s="491">
        <v>0</v>
      </c>
      <c r="AJ99" s="491">
        <v>0</v>
      </c>
      <c r="AK99" s="491">
        <v>0</v>
      </c>
      <c r="AL99" s="609">
        <f>SUM(AF99:AK99)</f>
        <v>0</v>
      </c>
      <c r="AM99" s="676">
        <f>I99+AE99</f>
        <v>3536548</v>
      </c>
      <c r="AN99" s="492">
        <f>J99+V99</f>
        <v>2613626</v>
      </c>
      <c r="AO99" s="492">
        <f t="shared" ref="AO99:AO103" si="172">K99+Z99</f>
        <v>10000</v>
      </c>
      <c r="AP99" s="492">
        <f t="shared" ref="AP99:AR103" si="173">L99+AB99</f>
        <v>886786</v>
      </c>
      <c r="AQ99" s="492">
        <f t="shared" si="173"/>
        <v>26136</v>
      </c>
      <c r="AR99" s="573">
        <f t="shared" si="173"/>
        <v>0</v>
      </c>
      <c r="AS99" s="609">
        <f>O99+AL99</f>
        <v>4</v>
      </c>
    </row>
    <row r="100" spans="1:45" ht="14.1" customHeight="1" x14ac:dyDescent="0.2">
      <c r="A100" s="499">
        <v>31</v>
      </c>
      <c r="B100" s="511">
        <v>2474</v>
      </c>
      <c r="C100" s="512">
        <v>600080307</v>
      </c>
      <c r="D100" s="511">
        <v>65635612</v>
      </c>
      <c r="E100" s="510" t="s">
        <v>578</v>
      </c>
      <c r="F100" s="499">
        <v>3113</v>
      </c>
      <c r="G100" s="510" t="s">
        <v>280</v>
      </c>
      <c r="H100" s="495" t="s">
        <v>262</v>
      </c>
      <c r="I100" s="610">
        <v>27656676</v>
      </c>
      <c r="J100" s="14">
        <v>20477118</v>
      </c>
      <c r="K100" s="14">
        <v>40000</v>
      </c>
      <c r="L100" s="14">
        <v>6934786</v>
      </c>
      <c r="M100" s="14">
        <v>204772</v>
      </c>
      <c r="N100" s="14">
        <v>0</v>
      </c>
      <c r="O100" s="121">
        <v>27.497199999999999</v>
      </c>
      <c r="P100" s="676">
        <f t="shared" si="127"/>
        <v>0</v>
      </c>
      <c r="Q100" s="492">
        <v>0</v>
      </c>
      <c r="R100" s="492">
        <v>0</v>
      </c>
      <c r="S100" s="492">
        <v>0</v>
      </c>
      <c r="T100" s="492">
        <v>0</v>
      </c>
      <c r="U100" s="492">
        <v>0</v>
      </c>
      <c r="V100" s="492">
        <f>P100+Q100+R100+S100+T100+U100</f>
        <v>0</v>
      </c>
      <c r="W100" s="492">
        <v>0</v>
      </c>
      <c r="X100" s="492">
        <v>0</v>
      </c>
      <c r="Y100" s="492">
        <v>0</v>
      </c>
      <c r="Z100" s="492">
        <f t="shared" si="168"/>
        <v>0</v>
      </c>
      <c r="AA100" s="492">
        <f t="shared" si="169"/>
        <v>0</v>
      </c>
      <c r="AB100" s="494">
        <f t="shared" si="170"/>
        <v>0</v>
      </c>
      <c r="AC100" s="494">
        <f t="shared" si="171"/>
        <v>0</v>
      </c>
      <c r="AD100" s="14">
        <v>0</v>
      </c>
      <c r="AE100" s="753">
        <f t="shared" si="128"/>
        <v>0</v>
      </c>
      <c r="AF100" s="858">
        <v>0</v>
      </c>
      <c r="AG100" s="491">
        <v>0</v>
      </c>
      <c r="AH100" s="491">
        <v>0</v>
      </c>
      <c r="AI100" s="491">
        <v>0</v>
      </c>
      <c r="AJ100" s="491">
        <v>0</v>
      </c>
      <c r="AK100" s="491">
        <v>0</v>
      </c>
      <c r="AL100" s="609">
        <f>SUM(AF100:AK100)</f>
        <v>0</v>
      </c>
      <c r="AM100" s="676">
        <f>I100+AE100</f>
        <v>27656676</v>
      </c>
      <c r="AN100" s="492">
        <f>J100+V100</f>
        <v>20477118</v>
      </c>
      <c r="AO100" s="492">
        <f t="shared" si="172"/>
        <v>40000</v>
      </c>
      <c r="AP100" s="492">
        <f t="shared" si="173"/>
        <v>6934786</v>
      </c>
      <c r="AQ100" s="492">
        <f t="shared" si="173"/>
        <v>204772</v>
      </c>
      <c r="AR100" s="573">
        <f t="shared" si="173"/>
        <v>0</v>
      </c>
      <c r="AS100" s="609">
        <f>O100+AL100</f>
        <v>27.497199999999999</v>
      </c>
    </row>
    <row r="101" spans="1:45" ht="14.1" customHeight="1" x14ac:dyDescent="0.2">
      <c r="A101" s="499">
        <v>31</v>
      </c>
      <c r="B101" s="511">
        <v>2474</v>
      </c>
      <c r="C101" s="512">
        <v>600080307</v>
      </c>
      <c r="D101" s="511">
        <v>65635612</v>
      </c>
      <c r="E101" s="510" t="s">
        <v>578</v>
      </c>
      <c r="F101" s="499">
        <v>3113</v>
      </c>
      <c r="G101" s="510" t="s">
        <v>799</v>
      </c>
      <c r="H101" s="495" t="s">
        <v>262</v>
      </c>
      <c r="I101" s="610">
        <v>719330</v>
      </c>
      <c r="J101" s="14">
        <v>533628</v>
      </c>
      <c r="K101" s="14">
        <v>0</v>
      </c>
      <c r="L101" s="14">
        <v>180366</v>
      </c>
      <c r="M101" s="14">
        <v>5336</v>
      </c>
      <c r="N101" s="14">
        <v>0</v>
      </c>
      <c r="O101" s="121">
        <v>1</v>
      </c>
      <c r="P101" s="676">
        <f t="shared" si="127"/>
        <v>0</v>
      </c>
      <c r="Q101" s="492">
        <v>0</v>
      </c>
      <c r="R101" s="492">
        <v>0</v>
      </c>
      <c r="S101" s="492">
        <v>0</v>
      </c>
      <c r="T101" s="492">
        <v>0</v>
      </c>
      <c r="U101" s="492">
        <v>0</v>
      </c>
      <c r="V101" s="492">
        <f>P101+Q101+R101+S101+T101+U101</f>
        <v>0</v>
      </c>
      <c r="W101" s="492">
        <v>0</v>
      </c>
      <c r="X101" s="492">
        <v>0</v>
      </c>
      <c r="Y101" s="492">
        <v>0</v>
      </c>
      <c r="Z101" s="492">
        <f t="shared" ref="Z101" si="174">W101+X101+Y101</f>
        <v>0</v>
      </c>
      <c r="AA101" s="492">
        <f t="shared" ref="AA101" si="175">V101+Z101</f>
        <v>0</v>
      </c>
      <c r="AB101" s="494">
        <f t="shared" ref="AB101" si="176">ROUND((V101+Z101)*33.8%,0)</f>
        <v>0</v>
      </c>
      <c r="AC101" s="494">
        <f t="shared" ref="AC101" si="177">ROUND(V101*1%,0)</f>
        <v>0</v>
      </c>
      <c r="AD101" s="14">
        <v>0</v>
      </c>
      <c r="AE101" s="753">
        <f t="shared" si="128"/>
        <v>0</v>
      </c>
      <c r="AF101" s="858">
        <v>0</v>
      </c>
      <c r="AG101" s="491">
        <v>0</v>
      </c>
      <c r="AH101" s="491">
        <v>0</v>
      </c>
      <c r="AI101" s="491">
        <v>0</v>
      </c>
      <c r="AJ101" s="491">
        <v>0</v>
      </c>
      <c r="AK101" s="491">
        <v>0</v>
      </c>
      <c r="AL101" s="609">
        <f>SUM(AF101:AK101)</f>
        <v>0</v>
      </c>
      <c r="AM101" s="676">
        <f>I101+AE101</f>
        <v>719330</v>
      </c>
      <c r="AN101" s="492">
        <f>J101+V101</f>
        <v>533628</v>
      </c>
      <c r="AO101" s="492">
        <f t="shared" si="172"/>
        <v>0</v>
      </c>
      <c r="AP101" s="492">
        <f t="shared" si="173"/>
        <v>180366</v>
      </c>
      <c r="AQ101" s="492">
        <f t="shared" si="173"/>
        <v>5336</v>
      </c>
      <c r="AR101" s="573">
        <f t="shared" si="173"/>
        <v>0</v>
      </c>
      <c r="AS101" s="609">
        <f>O101+AL101</f>
        <v>1</v>
      </c>
    </row>
    <row r="102" spans="1:45" ht="14.1" customHeight="1" x14ac:dyDescent="0.2">
      <c r="A102" s="499">
        <v>31</v>
      </c>
      <c r="B102" s="511">
        <v>2474</v>
      </c>
      <c r="C102" s="512">
        <v>600080307</v>
      </c>
      <c r="D102" s="511">
        <v>65635612</v>
      </c>
      <c r="E102" s="510" t="s">
        <v>578</v>
      </c>
      <c r="F102" s="499">
        <v>3113</v>
      </c>
      <c r="G102" s="513" t="s">
        <v>278</v>
      </c>
      <c r="H102" s="495" t="s">
        <v>263</v>
      </c>
      <c r="I102" s="610">
        <v>3615903</v>
      </c>
      <c r="J102" s="490">
        <v>2682421</v>
      </c>
      <c r="K102" s="490">
        <v>0</v>
      </c>
      <c r="L102" s="14">
        <v>906658</v>
      </c>
      <c r="M102" s="14">
        <v>26824</v>
      </c>
      <c r="N102" s="14">
        <v>0</v>
      </c>
      <c r="O102" s="664">
        <v>6.7700000000000005</v>
      </c>
      <c r="P102" s="676">
        <f t="shared" si="127"/>
        <v>0</v>
      </c>
      <c r="Q102" s="492">
        <f>165353+166460</f>
        <v>331813</v>
      </c>
      <c r="R102" s="492">
        <v>0</v>
      </c>
      <c r="S102" s="492">
        <v>0</v>
      </c>
      <c r="T102" s="492">
        <v>0</v>
      </c>
      <c r="U102" s="492">
        <v>0</v>
      </c>
      <c r="V102" s="492">
        <f>P102+Q102+R102+S102+T102+U102</f>
        <v>331813</v>
      </c>
      <c r="W102" s="492">
        <v>0</v>
      </c>
      <c r="X102" s="492">
        <v>0</v>
      </c>
      <c r="Y102" s="492">
        <v>0</v>
      </c>
      <c r="Z102" s="492">
        <f t="shared" si="168"/>
        <v>0</v>
      </c>
      <c r="AA102" s="492">
        <f t="shared" si="169"/>
        <v>331813</v>
      </c>
      <c r="AB102" s="494">
        <f t="shared" si="170"/>
        <v>112153</v>
      </c>
      <c r="AC102" s="494">
        <f t="shared" si="171"/>
        <v>3318</v>
      </c>
      <c r="AD102" s="14">
        <v>0</v>
      </c>
      <c r="AE102" s="753">
        <f t="shared" si="128"/>
        <v>447284</v>
      </c>
      <c r="AF102" s="858">
        <v>0</v>
      </c>
      <c r="AG102" s="491">
        <f>0.42+0.56</f>
        <v>0.98</v>
      </c>
      <c r="AH102" s="491">
        <v>0</v>
      </c>
      <c r="AI102" s="491">
        <v>0</v>
      </c>
      <c r="AJ102" s="491">
        <v>0</v>
      </c>
      <c r="AK102" s="491">
        <v>0</v>
      </c>
      <c r="AL102" s="609">
        <f>SUM(AF102:AK102)</f>
        <v>0.98</v>
      </c>
      <c r="AM102" s="676">
        <f>I102+AE102</f>
        <v>4063187</v>
      </c>
      <c r="AN102" s="492">
        <f>J102+V102</f>
        <v>3014234</v>
      </c>
      <c r="AO102" s="492">
        <f t="shared" si="172"/>
        <v>0</v>
      </c>
      <c r="AP102" s="492">
        <f t="shared" si="173"/>
        <v>1018811</v>
      </c>
      <c r="AQ102" s="492">
        <f t="shared" si="173"/>
        <v>30142</v>
      </c>
      <c r="AR102" s="573">
        <f t="shared" si="173"/>
        <v>0</v>
      </c>
      <c r="AS102" s="609">
        <f>O102+AL102</f>
        <v>7.75</v>
      </c>
    </row>
    <row r="103" spans="1:45" ht="14.1" customHeight="1" x14ac:dyDescent="0.2">
      <c r="A103" s="499">
        <v>31</v>
      </c>
      <c r="B103" s="511">
        <v>2474</v>
      </c>
      <c r="C103" s="512">
        <v>600080307</v>
      </c>
      <c r="D103" s="511">
        <v>65635612</v>
      </c>
      <c r="E103" s="510" t="s">
        <v>578</v>
      </c>
      <c r="F103" s="499">
        <v>3143</v>
      </c>
      <c r="G103" s="513" t="s">
        <v>794</v>
      </c>
      <c r="H103" s="495" t="s">
        <v>262</v>
      </c>
      <c r="I103" s="610">
        <v>2183531</v>
      </c>
      <c r="J103" s="14">
        <v>1619830</v>
      </c>
      <c r="K103" s="14">
        <v>0</v>
      </c>
      <c r="L103" s="14">
        <v>547503</v>
      </c>
      <c r="M103" s="14">
        <v>16198</v>
      </c>
      <c r="N103" s="14">
        <v>0</v>
      </c>
      <c r="O103" s="121">
        <v>3.036</v>
      </c>
      <c r="P103" s="676">
        <f t="shared" si="127"/>
        <v>0</v>
      </c>
      <c r="Q103" s="492">
        <v>0</v>
      </c>
      <c r="R103" s="492">
        <v>0</v>
      </c>
      <c r="S103" s="492">
        <v>0</v>
      </c>
      <c r="T103" s="492">
        <v>0</v>
      </c>
      <c r="U103" s="492">
        <v>0</v>
      </c>
      <c r="V103" s="492">
        <f>P103+Q103+R103+S103+T103+U103</f>
        <v>0</v>
      </c>
      <c r="W103" s="492">
        <v>0</v>
      </c>
      <c r="X103" s="492">
        <v>0</v>
      </c>
      <c r="Y103" s="492">
        <v>0</v>
      </c>
      <c r="Z103" s="492">
        <f t="shared" si="168"/>
        <v>0</v>
      </c>
      <c r="AA103" s="492">
        <f t="shared" si="169"/>
        <v>0</v>
      </c>
      <c r="AB103" s="494">
        <f t="shared" si="170"/>
        <v>0</v>
      </c>
      <c r="AC103" s="494">
        <f t="shared" si="171"/>
        <v>0</v>
      </c>
      <c r="AD103" s="14">
        <v>0</v>
      </c>
      <c r="AE103" s="753">
        <f t="shared" si="128"/>
        <v>0</v>
      </c>
      <c r="AF103" s="858">
        <v>0</v>
      </c>
      <c r="AG103" s="491">
        <v>0</v>
      </c>
      <c r="AH103" s="491">
        <v>0</v>
      </c>
      <c r="AI103" s="491">
        <v>0</v>
      </c>
      <c r="AJ103" s="491">
        <v>0</v>
      </c>
      <c r="AK103" s="491">
        <v>0</v>
      </c>
      <c r="AL103" s="609">
        <f>SUM(AF103:AK103)</f>
        <v>0</v>
      </c>
      <c r="AM103" s="676">
        <f>I103+AE103</f>
        <v>2183531</v>
      </c>
      <c r="AN103" s="492">
        <f>J103+V103</f>
        <v>1619830</v>
      </c>
      <c r="AO103" s="492">
        <f t="shared" si="172"/>
        <v>0</v>
      </c>
      <c r="AP103" s="492">
        <f t="shared" si="173"/>
        <v>547503</v>
      </c>
      <c r="AQ103" s="492">
        <f t="shared" si="173"/>
        <v>16198</v>
      </c>
      <c r="AR103" s="573">
        <f t="shared" si="173"/>
        <v>0</v>
      </c>
      <c r="AS103" s="609">
        <f>O103+AL103</f>
        <v>3.036</v>
      </c>
    </row>
    <row r="104" spans="1:45" ht="14.1" customHeight="1" x14ac:dyDescent="0.2">
      <c r="A104" s="509">
        <v>31</v>
      </c>
      <c r="B104" s="507">
        <v>2474</v>
      </c>
      <c r="C104" s="508">
        <v>600080307</v>
      </c>
      <c r="D104" s="507">
        <v>65635612</v>
      </c>
      <c r="E104" s="505" t="s">
        <v>579</v>
      </c>
      <c r="F104" s="509"/>
      <c r="G104" s="505"/>
      <c r="H104" s="504"/>
      <c r="I104" s="612">
        <v>37711988</v>
      </c>
      <c r="J104" s="503">
        <v>27926623</v>
      </c>
      <c r="K104" s="503">
        <v>50000</v>
      </c>
      <c r="L104" s="503">
        <v>9456099</v>
      </c>
      <c r="M104" s="503">
        <v>279266</v>
      </c>
      <c r="N104" s="503">
        <v>0</v>
      </c>
      <c r="O104" s="837">
        <v>42.303200000000004</v>
      </c>
      <c r="P104" s="612">
        <f t="shared" ref="P104:AS104" si="178">SUM(P99:P103)</f>
        <v>0</v>
      </c>
      <c r="Q104" s="502">
        <f t="shared" si="178"/>
        <v>331813</v>
      </c>
      <c r="R104" s="502">
        <f t="shared" si="178"/>
        <v>0</v>
      </c>
      <c r="S104" s="502">
        <f t="shared" si="178"/>
        <v>0</v>
      </c>
      <c r="T104" s="502">
        <f t="shared" si="178"/>
        <v>0</v>
      </c>
      <c r="U104" s="502">
        <f t="shared" si="178"/>
        <v>0</v>
      </c>
      <c r="V104" s="502">
        <f t="shared" si="178"/>
        <v>331813</v>
      </c>
      <c r="W104" s="502">
        <f t="shared" si="178"/>
        <v>0</v>
      </c>
      <c r="X104" s="502">
        <f t="shared" si="178"/>
        <v>0</v>
      </c>
      <c r="Y104" s="502">
        <f t="shared" si="178"/>
        <v>0</v>
      </c>
      <c r="Z104" s="502">
        <f t="shared" si="178"/>
        <v>0</v>
      </c>
      <c r="AA104" s="502">
        <f t="shared" si="178"/>
        <v>331813</v>
      </c>
      <c r="AB104" s="502">
        <f t="shared" si="178"/>
        <v>112153</v>
      </c>
      <c r="AC104" s="502">
        <f t="shared" si="178"/>
        <v>3318</v>
      </c>
      <c r="AD104" s="502">
        <f t="shared" si="178"/>
        <v>0</v>
      </c>
      <c r="AE104" s="852">
        <f t="shared" si="178"/>
        <v>447284</v>
      </c>
      <c r="AF104" s="857">
        <f t="shared" si="178"/>
        <v>0</v>
      </c>
      <c r="AG104" s="848">
        <f t="shared" si="178"/>
        <v>0.98</v>
      </c>
      <c r="AH104" s="848">
        <f t="shared" si="178"/>
        <v>0</v>
      </c>
      <c r="AI104" s="848">
        <f t="shared" si="178"/>
        <v>0</v>
      </c>
      <c r="AJ104" s="848">
        <f t="shared" si="178"/>
        <v>0</v>
      </c>
      <c r="AK104" s="848">
        <f t="shared" si="178"/>
        <v>0</v>
      </c>
      <c r="AL104" s="613">
        <f t="shared" si="178"/>
        <v>0.98</v>
      </c>
      <c r="AM104" s="612">
        <f t="shared" si="178"/>
        <v>38159272</v>
      </c>
      <c r="AN104" s="502">
        <f t="shared" si="178"/>
        <v>28258436</v>
      </c>
      <c r="AO104" s="549">
        <f t="shared" si="178"/>
        <v>50000</v>
      </c>
      <c r="AP104" s="502">
        <f t="shared" si="178"/>
        <v>9568252</v>
      </c>
      <c r="AQ104" s="502">
        <f t="shared" si="178"/>
        <v>282584</v>
      </c>
      <c r="AR104" s="502">
        <f t="shared" si="178"/>
        <v>0</v>
      </c>
      <c r="AS104" s="613">
        <f t="shared" si="178"/>
        <v>43.283200000000001</v>
      </c>
    </row>
    <row r="105" spans="1:45" ht="14.1" customHeight="1" x14ac:dyDescent="0.2">
      <c r="A105" s="499">
        <v>32</v>
      </c>
      <c r="B105" s="511">
        <v>2312</v>
      </c>
      <c r="C105" s="512">
        <v>600079899</v>
      </c>
      <c r="D105" s="511">
        <v>65642350</v>
      </c>
      <c r="E105" s="510" t="s">
        <v>580</v>
      </c>
      <c r="F105" s="499">
        <v>3113</v>
      </c>
      <c r="G105" s="510" t="s">
        <v>280</v>
      </c>
      <c r="H105" s="495" t="s">
        <v>262</v>
      </c>
      <c r="I105" s="610">
        <v>31120352</v>
      </c>
      <c r="J105" s="14">
        <v>22947353</v>
      </c>
      <c r="K105" s="14">
        <v>140000</v>
      </c>
      <c r="L105" s="14">
        <v>7803526</v>
      </c>
      <c r="M105" s="14">
        <v>229473</v>
      </c>
      <c r="N105" s="14">
        <v>0</v>
      </c>
      <c r="O105" s="121">
        <v>31.031700000000001</v>
      </c>
      <c r="P105" s="676">
        <f t="shared" si="127"/>
        <v>0</v>
      </c>
      <c r="Q105" s="492">
        <v>0</v>
      </c>
      <c r="R105" s="492">
        <v>0</v>
      </c>
      <c r="S105" s="492">
        <v>0</v>
      </c>
      <c r="T105" s="492">
        <v>0</v>
      </c>
      <c r="U105" s="492">
        <v>0</v>
      </c>
      <c r="V105" s="492">
        <f>P105+Q105+R105+S105+T105+U105</f>
        <v>0</v>
      </c>
      <c r="W105" s="492">
        <v>0</v>
      </c>
      <c r="X105" s="492">
        <v>0</v>
      </c>
      <c r="Y105" s="492">
        <v>0</v>
      </c>
      <c r="Z105" s="492">
        <f t="shared" ref="Z105:Z109" si="179">W105+X105+Y105</f>
        <v>0</v>
      </c>
      <c r="AA105" s="492">
        <f t="shared" ref="AA105:AA109" si="180">V105+Z105</f>
        <v>0</v>
      </c>
      <c r="AB105" s="494">
        <f t="shared" ref="AB105:AB109" si="181">ROUND((V105+Z105)*33.8%,0)</f>
        <v>0</v>
      </c>
      <c r="AC105" s="494">
        <f t="shared" ref="AC105:AC109" si="182">ROUND(V105*1%,0)</f>
        <v>0</v>
      </c>
      <c r="AD105" s="14">
        <v>0</v>
      </c>
      <c r="AE105" s="753">
        <f t="shared" si="128"/>
        <v>0</v>
      </c>
      <c r="AF105" s="858">
        <v>0</v>
      </c>
      <c r="AG105" s="491">
        <v>0</v>
      </c>
      <c r="AH105" s="491">
        <v>0</v>
      </c>
      <c r="AI105" s="491">
        <v>0</v>
      </c>
      <c r="AJ105" s="491">
        <v>0</v>
      </c>
      <c r="AK105" s="491">
        <v>0</v>
      </c>
      <c r="AL105" s="609">
        <f>SUM(AF105:AK105)</f>
        <v>0</v>
      </c>
      <c r="AM105" s="676">
        <f>I105+AE105</f>
        <v>31120352</v>
      </c>
      <c r="AN105" s="492">
        <f>J105+V105</f>
        <v>22947353</v>
      </c>
      <c r="AO105" s="492">
        <f t="shared" ref="AO105:AO109" si="183">K105+Z105</f>
        <v>140000</v>
      </c>
      <c r="AP105" s="492">
        <f t="shared" ref="AP105:AR109" si="184">L105+AB105</f>
        <v>7803526</v>
      </c>
      <c r="AQ105" s="492">
        <f t="shared" si="184"/>
        <v>229473</v>
      </c>
      <c r="AR105" s="573">
        <f t="shared" si="184"/>
        <v>0</v>
      </c>
      <c r="AS105" s="609">
        <f>O105+AL105</f>
        <v>31.031700000000001</v>
      </c>
    </row>
    <row r="106" spans="1:45" ht="14.1" customHeight="1" x14ac:dyDescent="0.2">
      <c r="A106" s="499">
        <v>32</v>
      </c>
      <c r="B106" s="511">
        <v>2312</v>
      </c>
      <c r="C106" s="512">
        <v>600079899</v>
      </c>
      <c r="D106" s="511">
        <v>65642350</v>
      </c>
      <c r="E106" s="510" t="s">
        <v>580</v>
      </c>
      <c r="F106" s="499">
        <v>3113</v>
      </c>
      <c r="G106" s="510" t="s">
        <v>799</v>
      </c>
      <c r="H106" s="495" t="s">
        <v>262</v>
      </c>
      <c r="I106" s="610">
        <v>820754</v>
      </c>
      <c r="J106" s="14">
        <v>608868</v>
      </c>
      <c r="K106" s="14">
        <v>0</v>
      </c>
      <c r="L106" s="14">
        <v>205797</v>
      </c>
      <c r="M106" s="14">
        <v>6089</v>
      </c>
      <c r="N106" s="14">
        <v>0</v>
      </c>
      <c r="O106" s="121">
        <v>1</v>
      </c>
      <c r="P106" s="676">
        <f t="shared" si="127"/>
        <v>0</v>
      </c>
      <c r="Q106" s="492">
        <v>0</v>
      </c>
      <c r="R106" s="492">
        <v>0</v>
      </c>
      <c r="S106" s="492">
        <v>0</v>
      </c>
      <c r="T106" s="492">
        <v>0</v>
      </c>
      <c r="U106" s="492">
        <v>0</v>
      </c>
      <c r="V106" s="492">
        <f>P106+Q106+R106+S106+T106+U106</f>
        <v>0</v>
      </c>
      <c r="W106" s="492">
        <v>0</v>
      </c>
      <c r="X106" s="492">
        <v>0</v>
      </c>
      <c r="Y106" s="492">
        <v>0</v>
      </c>
      <c r="Z106" s="492">
        <f t="shared" ref="Z106" si="185">W106+X106+Y106</f>
        <v>0</v>
      </c>
      <c r="AA106" s="492">
        <f t="shared" ref="AA106" si="186">V106+Z106</f>
        <v>0</v>
      </c>
      <c r="AB106" s="494">
        <f t="shared" ref="AB106" si="187">ROUND((V106+Z106)*33.8%,0)</f>
        <v>0</v>
      </c>
      <c r="AC106" s="494">
        <f t="shared" ref="AC106" si="188">ROUND(V106*1%,0)</f>
        <v>0</v>
      </c>
      <c r="AD106" s="14">
        <v>0</v>
      </c>
      <c r="AE106" s="753">
        <f t="shared" si="128"/>
        <v>0</v>
      </c>
      <c r="AF106" s="858">
        <v>0</v>
      </c>
      <c r="AG106" s="491">
        <v>0</v>
      </c>
      <c r="AH106" s="491">
        <v>0</v>
      </c>
      <c r="AI106" s="491">
        <v>0</v>
      </c>
      <c r="AJ106" s="491">
        <v>0</v>
      </c>
      <c r="AK106" s="491">
        <v>0</v>
      </c>
      <c r="AL106" s="609">
        <f>SUM(AF106:AK106)</f>
        <v>0</v>
      </c>
      <c r="AM106" s="676">
        <f>I106+AE106</f>
        <v>820754</v>
      </c>
      <c r="AN106" s="492">
        <f>J106+V106</f>
        <v>608868</v>
      </c>
      <c r="AO106" s="492">
        <f t="shared" si="183"/>
        <v>0</v>
      </c>
      <c r="AP106" s="492">
        <f t="shared" si="184"/>
        <v>205797</v>
      </c>
      <c r="AQ106" s="492">
        <f t="shared" si="184"/>
        <v>6089</v>
      </c>
      <c r="AR106" s="573">
        <f t="shared" si="184"/>
        <v>0</v>
      </c>
      <c r="AS106" s="609">
        <f>O106+AL106</f>
        <v>1</v>
      </c>
    </row>
    <row r="107" spans="1:45" ht="14.1" customHeight="1" x14ac:dyDescent="0.2">
      <c r="A107" s="499">
        <v>32</v>
      </c>
      <c r="B107" s="511">
        <v>2312</v>
      </c>
      <c r="C107" s="512">
        <v>600079899</v>
      </c>
      <c r="D107" s="511">
        <v>65642350</v>
      </c>
      <c r="E107" s="510" t="s">
        <v>580</v>
      </c>
      <c r="F107" s="499">
        <v>3113</v>
      </c>
      <c r="G107" s="513" t="s">
        <v>278</v>
      </c>
      <c r="H107" s="495" t="s">
        <v>263</v>
      </c>
      <c r="I107" s="610">
        <v>3320398</v>
      </c>
      <c r="J107" s="490">
        <v>2463203</v>
      </c>
      <c r="K107" s="490">
        <v>0</v>
      </c>
      <c r="L107" s="14">
        <v>832563</v>
      </c>
      <c r="M107" s="14">
        <v>24632</v>
      </c>
      <c r="N107" s="14">
        <v>0</v>
      </c>
      <c r="O107" s="664">
        <v>5.94</v>
      </c>
      <c r="P107" s="676">
        <f t="shared" si="127"/>
        <v>0</v>
      </c>
      <c r="Q107" s="492">
        <v>0</v>
      </c>
      <c r="R107" s="492">
        <v>0</v>
      </c>
      <c r="S107" s="492">
        <v>0</v>
      </c>
      <c r="T107" s="492">
        <v>0</v>
      </c>
      <c r="U107" s="492">
        <v>0</v>
      </c>
      <c r="V107" s="492">
        <f>P107+Q107+R107+S107+T107+U107</f>
        <v>0</v>
      </c>
      <c r="W107" s="492">
        <v>0</v>
      </c>
      <c r="X107" s="492">
        <v>0</v>
      </c>
      <c r="Y107" s="492">
        <v>0</v>
      </c>
      <c r="Z107" s="492">
        <f t="shared" si="179"/>
        <v>0</v>
      </c>
      <c r="AA107" s="492">
        <f t="shared" si="180"/>
        <v>0</v>
      </c>
      <c r="AB107" s="494">
        <f t="shared" si="181"/>
        <v>0</v>
      </c>
      <c r="AC107" s="494">
        <f t="shared" si="182"/>
        <v>0</v>
      </c>
      <c r="AD107" s="14">
        <v>0</v>
      </c>
      <c r="AE107" s="753">
        <f t="shared" si="128"/>
        <v>0</v>
      </c>
      <c r="AF107" s="858">
        <v>0</v>
      </c>
      <c r="AG107" s="491">
        <v>0</v>
      </c>
      <c r="AH107" s="491">
        <v>0</v>
      </c>
      <c r="AI107" s="491">
        <v>0</v>
      </c>
      <c r="AJ107" s="491">
        <v>0</v>
      </c>
      <c r="AK107" s="491">
        <v>0</v>
      </c>
      <c r="AL107" s="609">
        <f>SUM(AF107:AK107)</f>
        <v>0</v>
      </c>
      <c r="AM107" s="676">
        <f>I107+AE107</f>
        <v>3320398</v>
      </c>
      <c r="AN107" s="492">
        <f>J107+V107</f>
        <v>2463203</v>
      </c>
      <c r="AO107" s="492">
        <f t="shared" si="183"/>
        <v>0</v>
      </c>
      <c r="AP107" s="492">
        <f t="shared" si="184"/>
        <v>832563</v>
      </c>
      <c r="AQ107" s="492">
        <f t="shared" si="184"/>
        <v>24632</v>
      </c>
      <c r="AR107" s="573">
        <f t="shared" si="184"/>
        <v>0</v>
      </c>
      <c r="AS107" s="609">
        <f>O107+AL107</f>
        <v>5.94</v>
      </c>
    </row>
    <row r="108" spans="1:45" ht="14.1" customHeight="1" x14ac:dyDescent="0.2">
      <c r="A108" s="499">
        <v>32</v>
      </c>
      <c r="B108" s="511">
        <v>2312</v>
      </c>
      <c r="C108" s="512">
        <v>600079899</v>
      </c>
      <c r="D108" s="511">
        <v>65642350</v>
      </c>
      <c r="E108" s="510" t="s">
        <v>580</v>
      </c>
      <c r="F108" s="499">
        <v>3143</v>
      </c>
      <c r="G108" s="513" t="s">
        <v>795</v>
      </c>
      <c r="H108" s="495" t="s">
        <v>262</v>
      </c>
      <c r="I108" s="610">
        <v>4013403</v>
      </c>
      <c r="J108" s="14">
        <v>2977302</v>
      </c>
      <c r="K108" s="14">
        <v>0</v>
      </c>
      <c r="L108" s="14">
        <v>1006328</v>
      </c>
      <c r="M108" s="14">
        <v>29773</v>
      </c>
      <c r="N108" s="14">
        <v>0</v>
      </c>
      <c r="O108" s="121">
        <v>5.5</v>
      </c>
      <c r="P108" s="676">
        <f t="shared" si="127"/>
        <v>0</v>
      </c>
      <c r="Q108" s="492">
        <v>0</v>
      </c>
      <c r="R108" s="492">
        <v>0</v>
      </c>
      <c r="S108" s="492">
        <v>0</v>
      </c>
      <c r="T108" s="492">
        <v>0</v>
      </c>
      <c r="U108" s="492">
        <v>0</v>
      </c>
      <c r="V108" s="492">
        <f>P108+Q108+R108+S108+T108+U108</f>
        <v>0</v>
      </c>
      <c r="W108" s="492">
        <v>0</v>
      </c>
      <c r="X108" s="492">
        <v>0</v>
      </c>
      <c r="Y108" s="492">
        <v>0</v>
      </c>
      <c r="Z108" s="492">
        <f t="shared" si="179"/>
        <v>0</v>
      </c>
      <c r="AA108" s="492">
        <f t="shared" si="180"/>
        <v>0</v>
      </c>
      <c r="AB108" s="494">
        <f t="shared" si="181"/>
        <v>0</v>
      </c>
      <c r="AC108" s="494">
        <f t="shared" si="182"/>
        <v>0</v>
      </c>
      <c r="AD108" s="14">
        <v>0</v>
      </c>
      <c r="AE108" s="753">
        <f t="shared" si="128"/>
        <v>0</v>
      </c>
      <c r="AF108" s="858">
        <v>0</v>
      </c>
      <c r="AG108" s="491">
        <v>0</v>
      </c>
      <c r="AH108" s="491">
        <v>0</v>
      </c>
      <c r="AI108" s="491">
        <v>0</v>
      </c>
      <c r="AJ108" s="491">
        <v>0</v>
      </c>
      <c r="AK108" s="491">
        <v>0</v>
      </c>
      <c r="AL108" s="609">
        <f>SUM(AF108:AK108)</f>
        <v>0</v>
      </c>
      <c r="AM108" s="676">
        <f>I108+AE108</f>
        <v>4013403</v>
      </c>
      <c r="AN108" s="492">
        <f>J108+V108</f>
        <v>2977302</v>
      </c>
      <c r="AO108" s="492">
        <f t="shared" si="183"/>
        <v>0</v>
      </c>
      <c r="AP108" s="492">
        <f t="shared" si="184"/>
        <v>1006328</v>
      </c>
      <c r="AQ108" s="492">
        <f t="shared" si="184"/>
        <v>29773</v>
      </c>
      <c r="AR108" s="573">
        <f t="shared" si="184"/>
        <v>0</v>
      </c>
      <c r="AS108" s="609">
        <f>O108+AL108</f>
        <v>5.5</v>
      </c>
    </row>
    <row r="109" spans="1:45" ht="14.1" customHeight="1" x14ac:dyDescent="0.2">
      <c r="A109" s="499">
        <v>32</v>
      </c>
      <c r="B109" s="511">
        <v>2312</v>
      </c>
      <c r="C109" s="512">
        <v>600079899</v>
      </c>
      <c r="D109" s="511">
        <v>65642350</v>
      </c>
      <c r="E109" s="510" t="s">
        <v>580</v>
      </c>
      <c r="F109" s="499">
        <v>3231</v>
      </c>
      <c r="G109" s="510" t="s">
        <v>281</v>
      </c>
      <c r="H109" s="495" t="s">
        <v>262</v>
      </c>
      <c r="I109" s="610">
        <v>15177285</v>
      </c>
      <c r="J109" s="14">
        <v>11159855</v>
      </c>
      <c r="K109" s="14">
        <v>100000</v>
      </c>
      <c r="L109" s="14">
        <v>3805831</v>
      </c>
      <c r="M109" s="14">
        <v>111599</v>
      </c>
      <c r="N109" s="14">
        <v>0</v>
      </c>
      <c r="O109" s="664">
        <v>16.783300000000001</v>
      </c>
      <c r="P109" s="676">
        <f t="shared" si="127"/>
        <v>0</v>
      </c>
      <c r="Q109" s="492">
        <v>0</v>
      </c>
      <c r="R109" s="492">
        <v>0</v>
      </c>
      <c r="S109" s="492">
        <v>0</v>
      </c>
      <c r="T109" s="492">
        <v>0</v>
      </c>
      <c r="U109" s="492">
        <v>0</v>
      </c>
      <c r="V109" s="492">
        <f>P109+Q109+R109+S109+T109+U109</f>
        <v>0</v>
      </c>
      <c r="W109" s="492">
        <v>0</v>
      </c>
      <c r="X109" s="492">
        <v>0</v>
      </c>
      <c r="Y109" s="492">
        <v>0</v>
      </c>
      <c r="Z109" s="492">
        <f t="shared" si="179"/>
        <v>0</v>
      </c>
      <c r="AA109" s="492">
        <f t="shared" si="180"/>
        <v>0</v>
      </c>
      <c r="AB109" s="494">
        <f t="shared" si="181"/>
        <v>0</v>
      </c>
      <c r="AC109" s="494">
        <f t="shared" si="182"/>
        <v>0</v>
      </c>
      <c r="AD109" s="14">
        <v>0</v>
      </c>
      <c r="AE109" s="753">
        <f t="shared" si="128"/>
        <v>0</v>
      </c>
      <c r="AF109" s="858">
        <v>0</v>
      </c>
      <c r="AG109" s="491">
        <v>0</v>
      </c>
      <c r="AH109" s="491">
        <v>0</v>
      </c>
      <c r="AI109" s="491">
        <v>0</v>
      </c>
      <c r="AJ109" s="491">
        <v>0</v>
      </c>
      <c r="AK109" s="491">
        <v>0</v>
      </c>
      <c r="AL109" s="609">
        <f>SUM(AF109:AK109)</f>
        <v>0</v>
      </c>
      <c r="AM109" s="676">
        <f>I109+AE109</f>
        <v>15177285</v>
      </c>
      <c r="AN109" s="492">
        <f>J109+V109</f>
        <v>11159855</v>
      </c>
      <c r="AO109" s="492">
        <f t="shared" si="183"/>
        <v>100000</v>
      </c>
      <c r="AP109" s="492">
        <f t="shared" si="184"/>
        <v>3805831</v>
      </c>
      <c r="AQ109" s="492">
        <f t="shared" si="184"/>
        <v>111599</v>
      </c>
      <c r="AR109" s="573">
        <f t="shared" si="184"/>
        <v>0</v>
      </c>
      <c r="AS109" s="609">
        <f>O109+AL109</f>
        <v>16.783300000000001</v>
      </c>
    </row>
    <row r="110" spans="1:45" ht="14.1" customHeight="1" x14ac:dyDescent="0.2">
      <c r="A110" s="509">
        <v>32</v>
      </c>
      <c r="B110" s="507">
        <v>2312</v>
      </c>
      <c r="C110" s="508">
        <v>600079899</v>
      </c>
      <c r="D110" s="507">
        <v>65642350</v>
      </c>
      <c r="E110" s="505" t="s">
        <v>581</v>
      </c>
      <c r="F110" s="509"/>
      <c r="G110" s="505"/>
      <c r="H110" s="504"/>
      <c r="I110" s="615">
        <v>54452192</v>
      </c>
      <c r="J110" s="517">
        <v>40156581</v>
      </c>
      <c r="K110" s="517">
        <v>240000</v>
      </c>
      <c r="L110" s="517">
        <v>13654045</v>
      </c>
      <c r="M110" s="517">
        <v>401566</v>
      </c>
      <c r="N110" s="517">
        <v>0</v>
      </c>
      <c r="O110" s="838">
        <v>60.254999999999995</v>
      </c>
      <c r="P110" s="615">
        <f t="shared" ref="P110:AS110" si="189">SUM(P105:P109)</f>
        <v>0</v>
      </c>
      <c r="Q110" s="516">
        <f t="shared" si="189"/>
        <v>0</v>
      </c>
      <c r="R110" s="516">
        <f t="shared" si="189"/>
        <v>0</v>
      </c>
      <c r="S110" s="516">
        <f t="shared" si="189"/>
        <v>0</v>
      </c>
      <c r="T110" s="516">
        <f t="shared" si="189"/>
        <v>0</v>
      </c>
      <c r="U110" s="516">
        <f t="shared" si="189"/>
        <v>0</v>
      </c>
      <c r="V110" s="516">
        <f t="shared" si="189"/>
        <v>0</v>
      </c>
      <c r="W110" s="516">
        <f t="shared" si="189"/>
        <v>0</v>
      </c>
      <c r="X110" s="516">
        <f t="shared" si="189"/>
        <v>0</v>
      </c>
      <c r="Y110" s="516">
        <f t="shared" si="189"/>
        <v>0</v>
      </c>
      <c r="Z110" s="516">
        <f t="shared" si="189"/>
        <v>0</v>
      </c>
      <c r="AA110" s="516">
        <f t="shared" si="189"/>
        <v>0</v>
      </c>
      <c r="AB110" s="516">
        <f t="shared" si="189"/>
        <v>0</v>
      </c>
      <c r="AC110" s="516">
        <f t="shared" si="189"/>
        <v>0</v>
      </c>
      <c r="AD110" s="516">
        <f t="shared" si="189"/>
        <v>0</v>
      </c>
      <c r="AE110" s="853">
        <f t="shared" si="189"/>
        <v>0</v>
      </c>
      <c r="AF110" s="859">
        <f t="shared" si="189"/>
        <v>0</v>
      </c>
      <c r="AG110" s="849">
        <f t="shared" si="189"/>
        <v>0</v>
      </c>
      <c r="AH110" s="849">
        <f t="shared" si="189"/>
        <v>0</v>
      </c>
      <c r="AI110" s="849">
        <f t="shared" si="189"/>
        <v>0</v>
      </c>
      <c r="AJ110" s="849">
        <f t="shared" si="189"/>
        <v>0</v>
      </c>
      <c r="AK110" s="849">
        <f t="shared" si="189"/>
        <v>0</v>
      </c>
      <c r="AL110" s="616">
        <f t="shared" si="189"/>
        <v>0</v>
      </c>
      <c r="AM110" s="615">
        <f t="shared" si="189"/>
        <v>54452192</v>
      </c>
      <c r="AN110" s="516">
        <f t="shared" si="189"/>
        <v>40156581</v>
      </c>
      <c r="AO110" s="550">
        <f t="shared" si="189"/>
        <v>240000</v>
      </c>
      <c r="AP110" s="516">
        <f t="shared" si="189"/>
        <v>13654045</v>
      </c>
      <c r="AQ110" s="516">
        <f t="shared" si="189"/>
        <v>401566</v>
      </c>
      <c r="AR110" s="516">
        <f t="shared" si="189"/>
        <v>0</v>
      </c>
      <c r="AS110" s="616">
        <f t="shared" si="189"/>
        <v>60.254999999999995</v>
      </c>
    </row>
    <row r="111" spans="1:45" ht="14.1" customHeight="1" x14ac:dyDescent="0.2">
      <c r="A111" s="499">
        <v>33</v>
      </c>
      <c r="B111" s="511">
        <v>2479</v>
      </c>
      <c r="C111" s="512">
        <v>600080340</v>
      </c>
      <c r="D111" s="511">
        <v>65100280</v>
      </c>
      <c r="E111" s="510" t="s">
        <v>582</v>
      </c>
      <c r="F111" s="499">
        <v>3113</v>
      </c>
      <c r="G111" s="510" t="s">
        <v>280</v>
      </c>
      <c r="H111" s="495" t="s">
        <v>262</v>
      </c>
      <c r="I111" s="610">
        <v>37835337</v>
      </c>
      <c r="J111" s="14">
        <v>28047906</v>
      </c>
      <c r="K111" s="14">
        <v>20000</v>
      </c>
      <c r="L111" s="14">
        <v>9486952</v>
      </c>
      <c r="M111" s="14">
        <v>280479</v>
      </c>
      <c r="N111" s="14">
        <v>0</v>
      </c>
      <c r="O111" s="121">
        <v>38.424500000000002</v>
      </c>
      <c r="P111" s="676">
        <f t="shared" si="127"/>
        <v>0</v>
      </c>
      <c r="Q111" s="492">
        <v>0</v>
      </c>
      <c r="R111" s="492">
        <v>0</v>
      </c>
      <c r="S111" s="492">
        <v>0</v>
      </c>
      <c r="T111" s="492">
        <v>0</v>
      </c>
      <c r="U111" s="492">
        <v>0</v>
      </c>
      <c r="V111" s="492">
        <f>P111+Q111+R111+S111+T111+U111</f>
        <v>0</v>
      </c>
      <c r="W111" s="492">
        <v>0</v>
      </c>
      <c r="X111" s="492">
        <v>0</v>
      </c>
      <c r="Y111" s="492">
        <v>0</v>
      </c>
      <c r="Z111" s="492">
        <f t="shared" ref="Z111:Z114" si="190">W111+X111+Y111</f>
        <v>0</v>
      </c>
      <c r="AA111" s="492">
        <f t="shared" ref="AA111:AA114" si="191">V111+Z111</f>
        <v>0</v>
      </c>
      <c r="AB111" s="494">
        <f t="shared" ref="AB111:AB114" si="192">ROUND((V111+Z111)*33.8%,0)</f>
        <v>0</v>
      </c>
      <c r="AC111" s="494">
        <f>ROUND(V111*1%,0)</f>
        <v>0</v>
      </c>
      <c r="AD111" s="14">
        <v>0</v>
      </c>
      <c r="AE111" s="753">
        <f t="shared" si="128"/>
        <v>0</v>
      </c>
      <c r="AF111" s="858">
        <v>0</v>
      </c>
      <c r="AG111" s="491">
        <v>0</v>
      </c>
      <c r="AH111" s="491">
        <v>0</v>
      </c>
      <c r="AI111" s="491">
        <v>0</v>
      </c>
      <c r="AJ111" s="491">
        <v>0</v>
      </c>
      <c r="AK111" s="491">
        <v>0</v>
      </c>
      <c r="AL111" s="609">
        <f>SUM(AF111:AK111)</f>
        <v>0</v>
      </c>
      <c r="AM111" s="676">
        <f>I111+AE111</f>
        <v>37835337</v>
      </c>
      <c r="AN111" s="492">
        <f>J111+V111</f>
        <v>28047906</v>
      </c>
      <c r="AO111" s="492">
        <f t="shared" ref="AO111:AO114" si="193">K111+Z111</f>
        <v>20000</v>
      </c>
      <c r="AP111" s="492">
        <f t="shared" ref="AP111:AR114" si="194">L111+AB111</f>
        <v>9486952</v>
      </c>
      <c r="AQ111" s="492">
        <f t="shared" si="194"/>
        <v>280479</v>
      </c>
      <c r="AR111" s="573">
        <f t="shared" si="194"/>
        <v>0</v>
      </c>
      <c r="AS111" s="609">
        <f>O111+AL111</f>
        <v>38.424500000000002</v>
      </c>
    </row>
    <row r="112" spans="1:45" ht="14.1" customHeight="1" x14ac:dyDescent="0.2">
      <c r="A112" s="499">
        <v>33</v>
      </c>
      <c r="B112" s="511">
        <v>2479</v>
      </c>
      <c r="C112" s="512">
        <v>600080340</v>
      </c>
      <c r="D112" s="511">
        <v>65100280</v>
      </c>
      <c r="E112" s="510" t="s">
        <v>582</v>
      </c>
      <c r="F112" s="499">
        <v>3113</v>
      </c>
      <c r="G112" s="510" t="s">
        <v>799</v>
      </c>
      <c r="H112" s="495" t="s">
        <v>262</v>
      </c>
      <c r="I112" s="610">
        <v>761065</v>
      </c>
      <c r="J112" s="14">
        <v>564588</v>
      </c>
      <c r="K112" s="14">
        <v>0</v>
      </c>
      <c r="L112" s="14">
        <v>190831</v>
      </c>
      <c r="M112" s="14">
        <v>5646</v>
      </c>
      <c r="N112" s="14">
        <v>0</v>
      </c>
      <c r="O112" s="121">
        <v>1</v>
      </c>
      <c r="P112" s="676">
        <f t="shared" si="127"/>
        <v>0</v>
      </c>
      <c r="Q112" s="492">
        <v>0</v>
      </c>
      <c r="R112" s="492">
        <v>0</v>
      </c>
      <c r="S112" s="492">
        <v>0</v>
      </c>
      <c r="T112" s="492">
        <v>0</v>
      </c>
      <c r="U112" s="492">
        <v>0</v>
      </c>
      <c r="V112" s="492">
        <f>P112+Q112+R112+S112+T112+U112</f>
        <v>0</v>
      </c>
      <c r="W112" s="492">
        <v>0</v>
      </c>
      <c r="X112" s="492">
        <v>0</v>
      </c>
      <c r="Y112" s="492">
        <v>0</v>
      </c>
      <c r="Z112" s="492">
        <f t="shared" ref="Z112" si="195">W112+X112+Y112</f>
        <v>0</v>
      </c>
      <c r="AA112" s="492">
        <f t="shared" ref="AA112" si="196">V112+Z112</f>
        <v>0</v>
      </c>
      <c r="AB112" s="494">
        <f t="shared" ref="AB112" si="197">ROUND((V112+Z112)*33.8%,0)</f>
        <v>0</v>
      </c>
      <c r="AC112" s="494">
        <f>ROUND(V112*1%,0)</f>
        <v>0</v>
      </c>
      <c r="AD112" s="14">
        <v>0</v>
      </c>
      <c r="AE112" s="753">
        <f t="shared" si="128"/>
        <v>0</v>
      </c>
      <c r="AF112" s="858">
        <v>0</v>
      </c>
      <c r="AG112" s="491">
        <v>0</v>
      </c>
      <c r="AH112" s="491">
        <v>0</v>
      </c>
      <c r="AI112" s="491">
        <v>0</v>
      </c>
      <c r="AJ112" s="491">
        <v>0</v>
      </c>
      <c r="AK112" s="491">
        <v>0</v>
      </c>
      <c r="AL112" s="609">
        <f>SUM(AF112:AK112)</f>
        <v>0</v>
      </c>
      <c r="AM112" s="676">
        <f>I112+AE112</f>
        <v>761065</v>
      </c>
      <c r="AN112" s="492">
        <f>J112+V112</f>
        <v>564588</v>
      </c>
      <c r="AO112" s="492">
        <f t="shared" si="193"/>
        <v>0</v>
      </c>
      <c r="AP112" s="492">
        <f t="shared" si="194"/>
        <v>190831</v>
      </c>
      <c r="AQ112" s="492">
        <f t="shared" si="194"/>
        <v>5646</v>
      </c>
      <c r="AR112" s="573">
        <f t="shared" si="194"/>
        <v>0</v>
      </c>
      <c r="AS112" s="609">
        <f>O112+AL112</f>
        <v>1</v>
      </c>
    </row>
    <row r="113" spans="1:45" ht="14.1" customHeight="1" x14ac:dyDescent="0.2">
      <c r="A113" s="499">
        <v>33</v>
      </c>
      <c r="B113" s="511">
        <v>2479</v>
      </c>
      <c r="C113" s="512">
        <v>600080340</v>
      </c>
      <c r="D113" s="511">
        <v>65100280</v>
      </c>
      <c r="E113" s="510" t="s">
        <v>582</v>
      </c>
      <c r="F113" s="499">
        <v>3113</v>
      </c>
      <c r="G113" s="513" t="s">
        <v>278</v>
      </c>
      <c r="H113" s="495" t="s">
        <v>263</v>
      </c>
      <c r="I113" s="610">
        <v>5320497</v>
      </c>
      <c r="J113" s="490">
        <v>3946956</v>
      </c>
      <c r="K113" s="490">
        <v>0</v>
      </c>
      <c r="L113" s="14">
        <v>1334071</v>
      </c>
      <c r="M113" s="14">
        <v>39470</v>
      </c>
      <c r="N113" s="14">
        <v>0</v>
      </c>
      <c r="O113" s="664">
        <v>9.6999999999999993</v>
      </c>
      <c r="P113" s="676">
        <f t="shared" si="127"/>
        <v>0</v>
      </c>
      <c r="Q113" s="492">
        <v>-323361</v>
      </c>
      <c r="R113" s="492">
        <v>0</v>
      </c>
      <c r="S113" s="492">
        <v>0</v>
      </c>
      <c r="T113" s="492">
        <v>0</v>
      </c>
      <c r="U113" s="492">
        <v>0</v>
      </c>
      <c r="V113" s="492">
        <f>P113+Q113+R113+S113+T113+U113</f>
        <v>-323361</v>
      </c>
      <c r="W113" s="492">
        <v>0</v>
      </c>
      <c r="X113" s="492">
        <v>0</v>
      </c>
      <c r="Y113" s="492">
        <v>0</v>
      </c>
      <c r="Z113" s="492">
        <f t="shared" si="190"/>
        <v>0</v>
      </c>
      <c r="AA113" s="492">
        <f t="shared" si="191"/>
        <v>-323361</v>
      </c>
      <c r="AB113" s="494">
        <f t="shared" si="192"/>
        <v>-109296</v>
      </c>
      <c r="AC113" s="494">
        <f>ROUND(V113*1%,0)</f>
        <v>-3234</v>
      </c>
      <c r="AD113" s="14">
        <v>0</v>
      </c>
      <c r="AE113" s="753">
        <f t="shared" si="128"/>
        <v>-435891</v>
      </c>
      <c r="AF113" s="858">
        <v>0</v>
      </c>
      <c r="AG113" s="491">
        <v>-0.81</v>
      </c>
      <c r="AH113" s="491">
        <v>0</v>
      </c>
      <c r="AI113" s="491">
        <v>0</v>
      </c>
      <c r="AJ113" s="491">
        <v>0</v>
      </c>
      <c r="AK113" s="491">
        <v>0</v>
      </c>
      <c r="AL113" s="609">
        <f>SUM(AF113:AK113)</f>
        <v>-0.81</v>
      </c>
      <c r="AM113" s="676">
        <f>I113+AE113</f>
        <v>4884606</v>
      </c>
      <c r="AN113" s="492">
        <f>J113+V113</f>
        <v>3623595</v>
      </c>
      <c r="AO113" s="492">
        <f t="shared" si="193"/>
        <v>0</v>
      </c>
      <c r="AP113" s="492">
        <f t="shared" si="194"/>
        <v>1224775</v>
      </c>
      <c r="AQ113" s="492">
        <f t="shared" si="194"/>
        <v>36236</v>
      </c>
      <c r="AR113" s="573">
        <f t="shared" si="194"/>
        <v>0</v>
      </c>
      <c r="AS113" s="609">
        <f>O113+AL113</f>
        <v>8.8899999999999988</v>
      </c>
    </row>
    <row r="114" spans="1:45" ht="14.1" customHeight="1" x14ac:dyDescent="0.2">
      <c r="A114" s="499">
        <v>33</v>
      </c>
      <c r="B114" s="511">
        <v>2479</v>
      </c>
      <c r="C114" s="512">
        <v>600080340</v>
      </c>
      <c r="D114" s="511">
        <v>65100280</v>
      </c>
      <c r="E114" s="510" t="s">
        <v>582</v>
      </c>
      <c r="F114" s="499">
        <v>3143</v>
      </c>
      <c r="G114" s="513" t="s">
        <v>795</v>
      </c>
      <c r="H114" s="495" t="s">
        <v>262</v>
      </c>
      <c r="I114" s="610">
        <v>5255285</v>
      </c>
      <c r="J114" s="14">
        <v>3898579</v>
      </c>
      <c r="K114" s="14">
        <v>0</v>
      </c>
      <c r="L114" s="14">
        <v>1317720</v>
      </c>
      <c r="M114" s="14">
        <v>38986</v>
      </c>
      <c r="N114" s="14">
        <v>0</v>
      </c>
      <c r="O114" s="121">
        <v>7.1070000000000002</v>
      </c>
      <c r="P114" s="676">
        <f t="shared" si="127"/>
        <v>0</v>
      </c>
      <c r="Q114" s="492">
        <v>0</v>
      </c>
      <c r="R114" s="492">
        <v>0</v>
      </c>
      <c r="S114" s="492">
        <v>0</v>
      </c>
      <c r="T114" s="492">
        <v>0</v>
      </c>
      <c r="U114" s="492">
        <v>0</v>
      </c>
      <c r="V114" s="492">
        <f>P114+Q114+R114+S114+T114+U114</f>
        <v>0</v>
      </c>
      <c r="W114" s="492">
        <v>0</v>
      </c>
      <c r="X114" s="492">
        <v>0</v>
      </c>
      <c r="Y114" s="492">
        <v>0</v>
      </c>
      <c r="Z114" s="492">
        <f t="shared" si="190"/>
        <v>0</v>
      </c>
      <c r="AA114" s="492">
        <f t="shared" si="191"/>
        <v>0</v>
      </c>
      <c r="AB114" s="494">
        <f t="shared" si="192"/>
        <v>0</v>
      </c>
      <c r="AC114" s="494">
        <f>ROUND(V114*1%,0)</f>
        <v>0</v>
      </c>
      <c r="AD114" s="14">
        <v>0</v>
      </c>
      <c r="AE114" s="753">
        <f t="shared" si="128"/>
        <v>0</v>
      </c>
      <c r="AF114" s="858">
        <v>0</v>
      </c>
      <c r="AG114" s="491">
        <v>0</v>
      </c>
      <c r="AH114" s="491">
        <v>0</v>
      </c>
      <c r="AI114" s="491">
        <v>0</v>
      </c>
      <c r="AJ114" s="491">
        <v>0</v>
      </c>
      <c r="AK114" s="491">
        <v>0</v>
      </c>
      <c r="AL114" s="609">
        <f>SUM(AF114:AK114)</f>
        <v>0</v>
      </c>
      <c r="AM114" s="676">
        <f>I114+AE114</f>
        <v>5255285</v>
      </c>
      <c r="AN114" s="492">
        <f>J114+V114</f>
        <v>3898579</v>
      </c>
      <c r="AO114" s="492">
        <f t="shared" si="193"/>
        <v>0</v>
      </c>
      <c r="AP114" s="492">
        <f t="shared" si="194"/>
        <v>1317720</v>
      </c>
      <c r="AQ114" s="492">
        <f t="shared" si="194"/>
        <v>38986</v>
      </c>
      <c r="AR114" s="573">
        <f t="shared" si="194"/>
        <v>0</v>
      </c>
      <c r="AS114" s="609">
        <f>O114+AL114</f>
        <v>7.1070000000000002</v>
      </c>
    </row>
    <row r="115" spans="1:45" ht="14.1" customHeight="1" x14ac:dyDescent="0.2">
      <c r="A115" s="509">
        <v>33</v>
      </c>
      <c r="B115" s="507">
        <v>2479</v>
      </c>
      <c r="C115" s="508">
        <v>600080340</v>
      </c>
      <c r="D115" s="507">
        <v>65100280</v>
      </c>
      <c r="E115" s="505" t="s">
        <v>583</v>
      </c>
      <c r="F115" s="509"/>
      <c r="G115" s="505"/>
      <c r="H115" s="504"/>
      <c r="I115" s="612">
        <v>49172184</v>
      </c>
      <c r="J115" s="503">
        <v>36458029</v>
      </c>
      <c r="K115" s="503">
        <v>20000</v>
      </c>
      <c r="L115" s="503">
        <v>12329574</v>
      </c>
      <c r="M115" s="503">
        <v>364581</v>
      </c>
      <c r="N115" s="503">
        <v>0</v>
      </c>
      <c r="O115" s="837">
        <v>56.231499999999997</v>
      </c>
      <c r="P115" s="612">
        <f t="shared" ref="P115:AS115" si="198">SUM(P111:P114)</f>
        <v>0</v>
      </c>
      <c r="Q115" s="502">
        <f t="shared" si="198"/>
        <v>-323361</v>
      </c>
      <c r="R115" s="502">
        <f t="shared" si="198"/>
        <v>0</v>
      </c>
      <c r="S115" s="502">
        <f t="shared" si="198"/>
        <v>0</v>
      </c>
      <c r="T115" s="502">
        <f t="shared" si="198"/>
        <v>0</v>
      </c>
      <c r="U115" s="502">
        <f t="shared" si="198"/>
        <v>0</v>
      </c>
      <c r="V115" s="502">
        <f t="shared" si="198"/>
        <v>-323361</v>
      </c>
      <c r="W115" s="502">
        <f t="shared" si="198"/>
        <v>0</v>
      </c>
      <c r="X115" s="502">
        <f t="shared" si="198"/>
        <v>0</v>
      </c>
      <c r="Y115" s="502">
        <f t="shared" si="198"/>
        <v>0</v>
      </c>
      <c r="Z115" s="502">
        <f t="shared" si="198"/>
        <v>0</v>
      </c>
      <c r="AA115" s="502">
        <f t="shared" si="198"/>
        <v>-323361</v>
      </c>
      <c r="AB115" s="502">
        <f t="shared" si="198"/>
        <v>-109296</v>
      </c>
      <c r="AC115" s="502">
        <f t="shared" si="198"/>
        <v>-3234</v>
      </c>
      <c r="AD115" s="502">
        <f t="shared" si="198"/>
        <v>0</v>
      </c>
      <c r="AE115" s="852">
        <f t="shared" si="198"/>
        <v>-435891</v>
      </c>
      <c r="AF115" s="857">
        <f t="shared" si="198"/>
        <v>0</v>
      </c>
      <c r="AG115" s="848">
        <f t="shared" si="198"/>
        <v>-0.81</v>
      </c>
      <c r="AH115" s="848">
        <f t="shared" si="198"/>
        <v>0</v>
      </c>
      <c r="AI115" s="848">
        <f t="shared" si="198"/>
        <v>0</v>
      </c>
      <c r="AJ115" s="848">
        <f t="shared" si="198"/>
        <v>0</v>
      </c>
      <c r="AK115" s="848">
        <f t="shared" si="198"/>
        <v>0</v>
      </c>
      <c r="AL115" s="613">
        <f t="shared" si="198"/>
        <v>-0.81</v>
      </c>
      <c r="AM115" s="612">
        <f t="shared" si="198"/>
        <v>48736293</v>
      </c>
      <c r="AN115" s="502">
        <f t="shared" si="198"/>
        <v>36134668</v>
      </c>
      <c r="AO115" s="549">
        <f t="shared" si="198"/>
        <v>20000</v>
      </c>
      <c r="AP115" s="502">
        <f t="shared" si="198"/>
        <v>12220278</v>
      </c>
      <c r="AQ115" s="502">
        <f t="shared" si="198"/>
        <v>361347</v>
      </c>
      <c r="AR115" s="502">
        <f t="shared" si="198"/>
        <v>0</v>
      </c>
      <c r="AS115" s="613">
        <f t="shared" si="198"/>
        <v>55.421500000000002</v>
      </c>
    </row>
    <row r="116" spans="1:45" ht="14.1" customHeight="1" x14ac:dyDescent="0.2">
      <c r="A116" s="499">
        <v>34</v>
      </c>
      <c r="B116" s="511">
        <v>2475</v>
      </c>
      <c r="C116" s="512">
        <v>600080331</v>
      </c>
      <c r="D116" s="511">
        <v>65642368</v>
      </c>
      <c r="E116" s="510" t="s">
        <v>584</v>
      </c>
      <c r="F116" s="499">
        <v>3113</v>
      </c>
      <c r="G116" s="510" t="s">
        <v>280</v>
      </c>
      <c r="H116" s="495" t="s">
        <v>262</v>
      </c>
      <c r="I116" s="610">
        <v>41718965</v>
      </c>
      <c r="J116" s="14">
        <v>30641086</v>
      </c>
      <c r="K116" s="14">
        <v>310000</v>
      </c>
      <c r="L116" s="14">
        <v>10461468</v>
      </c>
      <c r="M116" s="14">
        <v>306411</v>
      </c>
      <c r="N116" s="14">
        <v>0</v>
      </c>
      <c r="O116" s="121">
        <v>40.732999999999997</v>
      </c>
      <c r="P116" s="676">
        <f t="shared" si="127"/>
        <v>0</v>
      </c>
      <c r="Q116" s="492">
        <v>0</v>
      </c>
      <c r="R116" s="492">
        <v>0</v>
      </c>
      <c r="S116" s="492">
        <v>0</v>
      </c>
      <c r="T116" s="492">
        <v>0</v>
      </c>
      <c r="U116" s="492">
        <v>0</v>
      </c>
      <c r="V116" s="492">
        <f>P116+Q116+R116+S116+T116+U116</f>
        <v>0</v>
      </c>
      <c r="W116" s="492">
        <v>0</v>
      </c>
      <c r="X116" s="492">
        <v>0</v>
      </c>
      <c r="Y116" s="492">
        <v>0</v>
      </c>
      <c r="Z116" s="492">
        <f t="shared" ref="Z116:Z119" si="199">W116+X116+Y116</f>
        <v>0</v>
      </c>
      <c r="AA116" s="492">
        <f t="shared" ref="AA116:AA119" si="200">V116+Z116</f>
        <v>0</v>
      </c>
      <c r="AB116" s="494">
        <f t="shared" ref="AB116:AB119" si="201">ROUND((V116+Z116)*33.8%,0)</f>
        <v>0</v>
      </c>
      <c r="AC116" s="494">
        <f>ROUND(V116*1%,0)</f>
        <v>0</v>
      </c>
      <c r="AD116" s="14">
        <v>0</v>
      </c>
      <c r="AE116" s="753">
        <f t="shared" si="128"/>
        <v>0</v>
      </c>
      <c r="AF116" s="858">
        <v>0</v>
      </c>
      <c r="AG116" s="491">
        <v>0</v>
      </c>
      <c r="AH116" s="491">
        <v>0</v>
      </c>
      <c r="AI116" s="491">
        <v>0</v>
      </c>
      <c r="AJ116" s="491">
        <v>0</v>
      </c>
      <c r="AK116" s="491">
        <v>0</v>
      </c>
      <c r="AL116" s="609">
        <f>SUM(AF116:AK116)</f>
        <v>0</v>
      </c>
      <c r="AM116" s="676">
        <f>I116+AE116</f>
        <v>41718965</v>
      </c>
      <c r="AN116" s="492">
        <f>J116+V116</f>
        <v>30641086</v>
      </c>
      <c r="AO116" s="492">
        <f t="shared" ref="AO116:AO119" si="202">K116+Z116</f>
        <v>310000</v>
      </c>
      <c r="AP116" s="492">
        <f t="shared" ref="AP116:AR119" si="203">L116+AB116</f>
        <v>10461468</v>
      </c>
      <c r="AQ116" s="492">
        <f t="shared" si="203"/>
        <v>306411</v>
      </c>
      <c r="AR116" s="573">
        <f t="shared" si="203"/>
        <v>0</v>
      </c>
      <c r="AS116" s="609">
        <f>O116+AL116</f>
        <v>40.732999999999997</v>
      </c>
    </row>
    <row r="117" spans="1:45" ht="14.1" customHeight="1" x14ac:dyDescent="0.2">
      <c r="A117" s="499">
        <v>34</v>
      </c>
      <c r="B117" s="511">
        <v>2475</v>
      </c>
      <c r="C117" s="512">
        <v>600080331</v>
      </c>
      <c r="D117" s="511">
        <v>65642368</v>
      </c>
      <c r="E117" s="510" t="s">
        <v>584</v>
      </c>
      <c r="F117" s="499">
        <v>3113</v>
      </c>
      <c r="G117" s="510" t="s">
        <v>799</v>
      </c>
      <c r="H117" s="495" t="s">
        <v>262</v>
      </c>
      <c r="I117" s="610">
        <v>826113</v>
      </c>
      <c r="J117" s="14">
        <v>612844</v>
      </c>
      <c r="K117" s="14">
        <v>0</v>
      </c>
      <c r="L117" s="14">
        <v>207141</v>
      </c>
      <c r="M117" s="14">
        <v>6128</v>
      </c>
      <c r="N117" s="14">
        <v>0</v>
      </c>
      <c r="O117" s="121">
        <v>1.0909</v>
      </c>
      <c r="P117" s="676">
        <f t="shared" si="127"/>
        <v>0</v>
      </c>
      <c r="Q117" s="492">
        <v>0</v>
      </c>
      <c r="R117" s="492">
        <v>0</v>
      </c>
      <c r="S117" s="492">
        <v>0</v>
      </c>
      <c r="T117" s="492">
        <v>0</v>
      </c>
      <c r="U117" s="492">
        <v>0</v>
      </c>
      <c r="V117" s="492">
        <f>P117+Q117+R117+S117+T117+U117</f>
        <v>0</v>
      </c>
      <c r="W117" s="492">
        <v>0</v>
      </c>
      <c r="X117" s="492">
        <v>0</v>
      </c>
      <c r="Y117" s="492">
        <v>0</v>
      </c>
      <c r="Z117" s="492">
        <f t="shared" ref="Z117" si="204">W117+X117+Y117</f>
        <v>0</v>
      </c>
      <c r="AA117" s="492">
        <f t="shared" ref="AA117" si="205">V117+Z117</f>
        <v>0</v>
      </c>
      <c r="AB117" s="494">
        <f t="shared" ref="AB117" si="206">ROUND((V117+Z117)*33.8%,0)</f>
        <v>0</v>
      </c>
      <c r="AC117" s="494">
        <f>ROUND(V117*1%,0)</f>
        <v>0</v>
      </c>
      <c r="AD117" s="14">
        <v>0</v>
      </c>
      <c r="AE117" s="753">
        <f t="shared" si="128"/>
        <v>0</v>
      </c>
      <c r="AF117" s="858">
        <v>0</v>
      </c>
      <c r="AG117" s="491">
        <v>0</v>
      </c>
      <c r="AH117" s="491">
        <v>0</v>
      </c>
      <c r="AI117" s="491">
        <v>0</v>
      </c>
      <c r="AJ117" s="491">
        <v>0</v>
      </c>
      <c r="AK117" s="491">
        <v>0</v>
      </c>
      <c r="AL117" s="609">
        <f>SUM(AF117:AK117)</f>
        <v>0</v>
      </c>
      <c r="AM117" s="676">
        <f>I117+AE117</f>
        <v>826113</v>
      </c>
      <c r="AN117" s="492">
        <f>J117+V117</f>
        <v>612844</v>
      </c>
      <c r="AO117" s="492">
        <f t="shared" si="202"/>
        <v>0</v>
      </c>
      <c r="AP117" s="492">
        <f t="shared" si="203"/>
        <v>207141</v>
      </c>
      <c r="AQ117" s="492">
        <f t="shared" si="203"/>
        <v>6128</v>
      </c>
      <c r="AR117" s="573">
        <f t="shared" si="203"/>
        <v>0</v>
      </c>
      <c r="AS117" s="609">
        <f>O117+AL117</f>
        <v>1.0909</v>
      </c>
    </row>
    <row r="118" spans="1:45" ht="14.1" customHeight="1" x14ac:dyDescent="0.2">
      <c r="A118" s="499">
        <v>34</v>
      </c>
      <c r="B118" s="511">
        <v>2475</v>
      </c>
      <c r="C118" s="512">
        <v>600080331</v>
      </c>
      <c r="D118" s="511">
        <v>65642368</v>
      </c>
      <c r="E118" s="510" t="s">
        <v>584</v>
      </c>
      <c r="F118" s="499">
        <v>3113</v>
      </c>
      <c r="G118" s="513" t="s">
        <v>278</v>
      </c>
      <c r="H118" s="495" t="s">
        <v>263</v>
      </c>
      <c r="I118" s="610">
        <v>5774799</v>
      </c>
      <c r="J118" s="490">
        <v>4283975</v>
      </c>
      <c r="K118" s="490">
        <v>0</v>
      </c>
      <c r="L118" s="14">
        <v>1447984</v>
      </c>
      <c r="M118" s="14">
        <v>42840</v>
      </c>
      <c r="N118" s="14">
        <v>0</v>
      </c>
      <c r="O118" s="664">
        <v>10.49</v>
      </c>
      <c r="P118" s="676">
        <f t="shared" si="127"/>
        <v>0</v>
      </c>
      <c r="Q118" s="492">
        <v>148818</v>
      </c>
      <c r="R118" s="492">
        <v>0</v>
      </c>
      <c r="S118" s="492">
        <v>0</v>
      </c>
      <c r="T118" s="492">
        <v>0</v>
      </c>
      <c r="U118" s="492">
        <v>0</v>
      </c>
      <c r="V118" s="492">
        <f>P118+Q118+R118+S118+T118+U118</f>
        <v>148818</v>
      </c>
      <c r="W118" s="492">
        <v>0</v>
      </c>
      <c r="X118" s="492">
        <v>0</v>
      </c>
      <c r="Y118" s="492">
        <v>0</v>
      </c>
      <c r="Z118" s="492">
        <f t="shared" si="199"/>
        <v>0</v>
      </c>
      <c r="AA118" s="492">
        <f t="shared" si="200"/>
        <v>148818</v>
      </c>
      <c r="AB118" s="494">
        <f t="shared" si="201"/>
        <v>50300</v>
      </c>
      <c r="AC118" s="494">
        <f>ROUND(V118*1%,0)</f>
        <v>1488</v>
      </c>
      <c r="AD118" s="14">
        <v>0</v>
      </c>
      <c r="AE118" s="753">
        <f t="shared" si="128"/>
        <v>200606</v>
      </c>
      <c r="AF118" s="858">
        <v>0</v>
      </c>
      <c r="AG118" s="491">
        <v>0.38</v>
      </c>
      <c r="AH118" s="491">
        <v>0</v>
      </c>
      <c r="AI118" s="491">
        <v>0</v>
      </c>
      <c r="AJ118" s="491">
        <v>0</v>
      </c>
      <c r="AK118" s="491">
        <v>0</v>
      </c>
      <c r="AL118" s="609">
        <f>SUM(AF118:AK118)</f>
        <v>0.38</v>
      </c>
      <c r="AM118" s="676">
        <f>I118+AE118</f>
        <v>5975405</v>
      </c>
      <c r="AN118" s="492">
        <f>J118+V118</f>
        <v>4432793</v>
      </c>
      <c r="AO118" s="492">
        <f t="shared" si="202"/>
        <v>0</v>
      </c>
      <c r="AP118" s="492">
        <f t="shared" si="203"/>
        <v>1498284</v>
      </c>
      <c r="AQ118" s="492">
        <f t="shared" si="203"/>
        <v>44328</v>
      </c>
      <c r="AR118" s="573">
        <f t="shared" si="203"/>
        <v>0</v>
      </c>
      <c r="AS118" s="609">
        <f>O118+AL118</f>
        <v>10.870000000000001</v>
      </c>
    </row>
    <row r="119" spans="1:45" ht="14.1" customHeight="1" x14ac:dyDescent="0.2">
      <c r="A119" s="499">
        <v>34</v>
      </c>
      <c r="B119" s="511">
        <v>2475</v>
      </c>
      <c r="C119" s="512">
        <v>600080331</v>
      </c>
      <c r="D119" s="511">
        <v>65642368</v>
      </c>
      <c r="E119" s="510" t="s">
        <v>584</v>
      </c>
      <c r="F119" s="499">
        <v>3143</v>
      </c>
      <c r="G119" s="513" t="s">
        <v>795</v>
      </c>
      <c r="H119" s="495" t="s">
        <v>262</v>
      </c>
      <c r="I119" s="610">
        <v>4625240</v>
      </c>
      <c r="J119" s="14">
        <v>3431187</v>
      </c>
      <c r="K119" s="14">
        <v>0</v>
      </c>
      <c r="L119" s="14">
        <v>1159741</v>
      </c>
      <c r="M119" s="14">
        <v>34312</v>
      </c>
      <c r="N119" s="14">
        <v>0</v>
      </c>
      <c r="O119" s="121">
        <v>6.2140000000000004</v>
      </c>
      <c r="P119" s="676">
        <f t="shared" si="127"/>
        <v>0</v>
      </c>
      <c r="Q119" s="492">
        <v>0</v>
      </c>
      <c r="R119" s="492">
        <v>0</v>
      </c>
      <c r="S119" s="492">
        <v>0</v>
      </c>
      <c r="T119" s="492">
        <v>0</v>
      </c>
      <c r="U119" s="492">
        <v>0</v>
      </c>
      <c r="V119" s="492">
        <f>P119+Q119+R119+S119+T119+U119</f>
        <v>0</v>
      </c>
      <c r="W119" s="492">
        <v>0</v>
      </c>
      <c r="X119" s="492">
        <v>0</v>
      </c>
      <c r="Y119" s="492">
        <v>0</v>
      </c>
      <c r="Z119" s="492">
        <f t="shared" si="199"/>
        <v>0</v>
      </c>
      <c r="AA119" s="492">
        <f t="shared" si="200"/>
        <v>0</v>
      </c>
      <c r="AB119" s="494">
        <f t="shared" si="201"/>
        <v>0</v>
      </c>
      <c r="AC119" s="494">
        <f>ROUND(V119*1%,0)</f>
        <v>0</v>
      </c>
      <c r="AD119" s="14">
        <v>0</v>
      </c>
      <c r="AE119" s="753">
        <f t="shared" si="128"/>
        <v>0</v>
      </c>
      <c r="AF119" s="858">
        <v>0</v>
      </c>
      <c r="AG119" s="491">
        <v>0</v>
      </c>
      <c r="AH119" s="491">
        <v>0</v>
      </c>
      <c r="AI119" s="491">
        <v>0</v>
      </c>
      <c r="AJ119" s="491">
        <v>0</v>
      </c>
      <c r="AK119" s="491">
        <v>0</v>
      </c>
      <c r="AL119" s="609">
        <f>SUM(AF119:AK119)</f>
        <v>0</v>
      </c>
      <c r="AM119" s="676">
        <f>I119+AE119</f>
        <v>4625240</v>
      </c>
      <c r="AN119" s="492">
        <f>J119+V119</f>
        <v>3431187</v>
      </c>
      <c r="AO119" s="492">
        <f t="shared" si="202"/>
        <v>0</v>
      </c>
      <c r="AP119" s="492">
        <f t="shared" si="203"/>
        <v>1159741</v>
      </c>
      <c r="AQ119" s="492">
        <f t="shared" si="203"/>
        <v>34312</v>
      </c>
      <c r="AR119" s="573">
        <f t="shared" si="203"/>
        <v>0</v>
      </c>
      <c r="AS119" s="609">
        <f>O119+AL119</f>
        <v>6.2140000000000004</v>
      </c>
    </row>
    <row r="120" spans="1:45" ht="14.1" customHeight="1" x14ac:dyDescent="0.2">
      <c r="A120" s="509">
        <v>34</v>
      </c>
      <c r="B120" s="507">
        <v>2475</v>
      </c>
      <c r="C120" s="508">
        <v>600080331</v>
      </c>
      <c r="D120" s="507">
        <v>65642368</v>
      </c>
      <c r="E120" s="505" t="s">
        <v>585</v>
      </c>
      <c r="F120" s="509"/>
      <c r="G120" s="505"/>
      <c r="H120" s="504"/>
      <c r="I120" s="612">
        <v>52945117</v>
      </c>
      <c r="J120" s="503">
        <v>38969092</v>
      </c>
      <c r="K120" s="503">
        <v>310000</v>
      </c>
      <c r="L120" s="503">
        <v>13276334</v>
      </c>
      <c r="M120" s="503">
        <v>389691</v>
      </c>
      <c r="N120" s="503">
        <v>0</v>
      </c>
      <c r="O120" s="837">
        <v>58.527899999999995</v>
      </c>
      <c r="P120" s="612">
        <f t="shared" ref="P120:AS120" si="207">SUM(P116:P119)</f>
        <v>0</v>
      </c>
      <c r="Q120" s="502">
        <f t="shared" si="207"/>
        <v>148818</v>
      </c>
      <c r="R120" s="502">
        <f t="shared" si="207"/>
        <v>0</v>
      </c>
      <c r="S120" s="502">
        <f t="shared" si="207"/>
        <v>0</v>
      </c>
      <c r="T120" s="502">
        <f t="shared" si="207"/>
        <v>0</v>
      </c>
      <c r="U120" s="502">
        <f t="shared" si="207"/>
        <v>0</v>
      </c>
      <c r="V120" s="502">
        <f t="shared" si="207"/>
        <v>148818</v>
      </c>
      <c r="W120" s="502">
        <f t="shared" si="207"/>
        <v>0</v>
      </c>
      <c r="X120" s="502">
        <f t="shared" si="207"/>
        <v>0</v>
      </c>
      <c r="Y120" s="502">
        <f t="shared" si="207"/>
        <v>0</v>
      </c>
      <c r="Z120" s="502">
        <f t="shared" si="207"/>
        <v>0</v>
      </c>
      <c r="AA120" s="502">
        <f t="shared" si="207"/>
        <v>148818</v>
      </c>
      <c r="AB120" s="502">
        <f t="shared" si="207"/>
        <v>50300</v>
      </c>
      <c r="AC120" s="502">
        <f t="shared" si="207"/>
        <v>1488</v>
      </c>
      <c r="AD120" s="502">
        <f t="shared" si="207"/>
        <v>0</v>
      </c>
      <c r="AE120" s="852">
        <f t="shared" si="207"/>
        <v>200606</v>
      </c>
      <c r="AF120" s="857">
        <f t="shared" si="207"/>
        <v>0</v>
      </c>
      <c r="AG120" s="848">
        <f t="shared" si="207"/>
        <v>0.38</v>
      </c>
      <c r="AH120" s="848">
        <f t="shared" si="207"/>
        <v>0</v>
      </c>
      <c r="AI120" s="848">
        <f t="shared" si="207"/>
        <v>0</v>
      </c>
      <c r="AJ120" s="848">
        <f t="shared" si="207"/>
        <v>0</v>
      </c>
      <c r="AK120" s="848">
        <f t="shared" si="207"/>
        <v>0</v>
      </c>
      <c r="AL120" s="613">
        <f t="shared" si="207"/>
        <v>0.38</v>
      </c>
      <c r="AM120" s="612">
        <f t="shared" si="207"/>
        <v>53145723</v>
      </c>
      <c r="AN120" s="502">
        <f t="shared" si="207"/>
        <v>39117910</v>
      </c>
      <c r="AO120" s="549">
        <f t="shared" si="207"/>
        <v>310000</v>
      </c>
      <c r="AP120" s="502">
        <f t="shared" si="207"/>
        <v>13326634</v>
      </c>
      <c r="AQ120" s="502">
        <f t="shared" si="207"/>
        <v>391179</v>
      </c>
      <c r="AR120" s="502">
        <f t="shared" si="207"/>
        <v>0</v>
      </c>
      <c r="AS120" s="613">
        <f t="shared" si="207"/>
        <v>58.907899999999998</v>
      </c>
    </row>
    <row r="121" spans="1:45" ht="14.1" customHeight="1" x14ac:dyDescent="0.2">
      <c r="A121" s="499">
        <v>35</v>
      </c>
      <c r="B121" s="511">
        <v>2476</v>
      </c>
      <c r="C121" s="512">
        <v>600080170</v>
      </c>
      <c r="D121" s="511">
        <v>64040364</v>
      </c>
      <c r="E121" s="510" t="s">
        <v>586</v>
      </c>
      <c r="F121" s="499">
        <v>3113</v>
      </c>
      <c r="G121" s="510" t="s">
        <v>280</v>
      </c>
      <c r="H121" s="495" t="s">
        <v>262</v>
      </c>
      <c r="I121" s="610">
        <v>41408673</v>
      </c>
      <c r="J121" s="14">
        <v>30718600</v>
      </c>
      <c r="K121" s="14">
        <v>0</v>
      </c>
      <c r="L121" s="14">
        <v>10382887</v>
      </c>
      <c r="M121" s="14">
        <v>307186</v>
      </c>
      <c r="N121" s="14">
        <v>0</v>
      </c>
      <c r="O121" s="121">
        <v>42.181000000000004</v>
      </c>
      <c r="P121" s="676">
        <f t="shared" si="127"/>
        <v>0</v>
      </c>
      <c r="Q121" s="492">
        <v>0</v>
      </c>
      <c r="R121" s="492">
        <v>0</v>
      </c>
      <c r="S121" s="492">
        <v>0</v>
      </c>
      <c r="T121" s="492">
        <v>0</v>
      </c>
      <c r="U121" s="492">
        <v>0</v>
      </c>
      <c r="V121" s="492">
        <f>P121+Q121+R121+S121+T121+U121</f>
        <v>0</v>
      </c>
      <c r="W121" s="492">
        <v>0</v>
      </c>
      <c r="X121" s="492">
        <v>0</v>
      </c>
      <c r="Y121" s="492">
        <v>0</v>
      </c>
      <c r="Z121" s="492">
        <f t="shared" ref="Z121:Z124" si="208">W121+X121+Y121</f>
        <v>0</v>
      </c>
      <c r="AA121" s="492">
        <f t="shared" ref="AA121:AA124" si="209">V121+Z121</f>
        <v>0</v>
      </c>
      <c r="AB121" s="494">
        <f t="shared" ref="AB121:AB124" si="210">ROUND((V121+Z121)*33.8%,0)</f>
        <v>0</v>
      </c>
      <c r="AC121" s="494">
        <f>ROUND(V121*1%,0)</f>
        <v>0</v>
      </c>
      <c r="AD121" s="14">
        <v>0</v>
      </c>
      <c r="AE121" s="753">
        <f t="shared" si="128"/>
        <v>0</v>
      </c>
      <c r="AF121" s="858">
        <v>0</v>
      </c>
      <c r="AG121" s="491">
        <v>0</v>
      </c>
      <c r="AH121" s="491">
        <v>0</v>
      </c>
      <c r="AI121" s="491">
        <v>0</v>
      </c>
      <c r="AJ121" s="491">
        <v>0</v>
      </c>
      <c r="AK121" s="491">
        <v>0</v>
      </c>
      <c r="AL121" s="609">
        <f>SUM(AF121:AK121)</f>
        <v>0</v>
      </c>
      <c r="AM121" s="676">
        <f>I121+AE121</f>
        <v>41408673</v>
      </c>
      <c r="AN121" s="492">
        <f>J121+V121</f>
        <v>30718600</v>
      </c>
      <c r="AO121" s="492">
        <f t="shared" ref="AO121:AO124" si="211">K121+Z121</f>
        <v>0</v>
      </c>
      <c r="AP121" s="492">
        <f t="shared" ref="AP121:AR124" si="212">L121+AB121</f>
        <v>10382887</v>
      </c>
      <c r="AQ121" s="492">
        <f t="shared" si="212"/>
        <v>307186</v>
      </c>
      <c r="AR121" s="573">
        <f t="shared" si="212"/>
        <v>0</v>
      </c>
      <c r="AS121" s="609">
        <f>O121+AL121</f>
        <v>42.181000000000004</v>
      </c>
    </row>
    <row r="122" spans="1:45" ht="14.1" customHeight="1" x14ac:dyDescent="0.2">
      <c r="A122" s="499">
        <v>35</v>
      </c>
      <c r="B122" s="511">
        <v>2476</v>
      </c>
      <c r="C122" s="512">
        <v>600080170</v>
      </c>
      <c r="D122" s="511">
        <v>64040364</v>
      </c>
      <c r="E122" s="510" t="s">
        <v>586</v>
      </c>
      <c r="F122" s="499">
        <v>3113</v>
      </c>
      <c r="G122" s="510" t="s">
        <v>799</v>
      </c>
      <c r="H122" s="495" t="s">
        <v>262</v>
      </c>
      <c r="I122" s="610">
        <v>692478</v>
      </c>
      <c r="J122" s="14">
        <v>513708</v>
      </c>
      <c r="K122" s="14">
        <v>0</v>
      </c>
      <c r="L122" s="14">
        <v>173633</v>
      </c>
      <c r="M122" s="14">
        <v>5137</v>
      </c>
      <c r="N122" s="14">
        <v>0</v>
      </c>
      <c r="O122" s="121">
        <v>1</v>
      </c>
      <c r="P122" s="676">
        <f t="shared" si="127"/>
        <v>0</v>
      </c>
      <c r="Q122" s="492">
        <v>0</v>
      </c>
      <c r="R122" s="492">
        <v>0</v>
      </c>
      <c r="S122" s="492">
        <v>0</v>
      </c>
      <c r="T122" s="492">
        <v>0</v>
      </c>
      <c r="U122" s="492">
        <v>0</v>
      </c>
      <c r="V122" s="492">
        <f>P122+Q122+R122+S122+T122+U122</f>
        <v>0</v>
      </c>
      <c r="W122" s="492">
        <v>0</v>
      </c>
      <c r="X122" s="492">
        <v>0</v>
      </c>
      <c r="Y122" s="492">
        <v>0</v>
      </c>
      <c r="Z122" s="492">
        <f t="shared" ref="Z122" si="213">W122+X122+Y122</f>
        <v>0</v>
      </c>
      <c r="AA122" s="492">
        <f t="shared" ref="AA122" si="214">V122+Z122</f>
        <v>0</v>
      </c>
      <c r="AB122" s="494">
        <f t="shared" ref="AB122" si="215">ROUND((V122+Z122)*33.8%,0)</f>
        <v>0</v>
      </c>
      <c r="AC122" s="494">
        <f>ROUND(V122*1%,0)</f>
        <v>0</v>
      </c>
      <c r="AD122" s="14">
        <v>0</v>
      </c>
      <c r="AE122" s="753">
        <f t="shared" si="128"/>
        <v>0</v>
      </c>
      <c r="AF122" s="858">
        <v>0</v>
      </c>
      <c r="AG122" s="491">
        <v>0</v>
      </c>
      <c r="AH122" s="491">
        <v>0</v>
      </c>
      <c r="AI122" s="491">
        <v>0</v>
      </c>
      <c r="AJ122" s="491">
        <v>0</v>
      </c>
      <c r="AK122" s="491">
        <v>0</v>
      </c>
      <c r="AL122" s="609">
        <f>SUM(AF122:AK122)</f>
        <v>0</v>
      </c>
      <c r="AM122" s="676">
        <f>I122+AE122</f>
        <v>692478</v>
      </c>
      <c r="AN122" s="492">
        <f>J122+V122</f>
        <v>513708</v>
      </c>
      <c r="AO122" s="492">
        <f t="shared" si="211"/>
        <v>0</v>
      </c>
      <c r="AP122" s="492">
        <f t="shared" si="212"/>
        <v>173633</v>
      </c>
      <c r="AQ122" s="492">
        <f t="shared" si="212"/>
        <v>5137</v>
      </c>
      <c r="AR122" s="573">
        <f t="shared" si="212"/>
        <v>0</v>
      </c>
      <c r="AS122" s="609">
        <f>O122+AL122</f>
        <v>1</v>
      </c>
    </row>
    <row r="123" spans="1:45" ht="14.1" customHeight="1" x14ac:dyDescent="0.2">
      <c r="A123" s="499">
        <v>35</v>
      </c>
      <c r="B123" s="511">
        <v>2476</v>
      </c>
      <c r="C123" s="512">
        <v>600080170</v>
      </c>
      <c r="D123" s="511">
        <v>64040364</v>
      </c>
      <c r="E123" s="510" t="s">
        <v>586</v>
      </c>
      <c r="F123" s="499">
        <v>3113</v>
      </c>
      <c r="G123" s="513" t="s">
        <v>278</v>
      </c>
      <c r="H123" s="495" t="s">
        <v>263</v>
      </c>
      <c r="I123" s="610">
        <v>3048243</v>
      </c>
      <c r="J123" s="490">
        <v>2261308</v>
      </c>
      <c r="K123" s="490">
        <v>0</v>
      </c>
      <c r="L123" s="14">
        <v>764322</v>
      </c>
      <c r="M123" s="14">
        <v>22613</v>
      </c>
      <c r="N123" s="14">
        <v>0</v>
      </c>
      <c r="O123" s="664">
        <v>5.89</v>
      </c>
      <c r="P123" s="676">
        <f t="shared" si="127"/>
        <v>0</v>
      </c>
      <c r="Q123" s="492">
        <v>0</v>
      </c>
      <c r="R123" s="492">
        <v>0</v>
      </c>
      <c r="S123" s="492">
        <v>0</v>
      </c>
      <c r="T123" s="492">
        <v>0</v>
      </c>
      <c r="U123" s="492">
        <v>0</v>
      </c>
      <c r="V123" s="492">
        <f>P123+Q123+R123+S123+T123+U123</f>
        <v>0</v>
      </c>
      <c r="W123" s="492">
        <v>0</v>
      </c>
      <c r="X123" s="492">
        <v>0</v>
      </c>
      <c r="Y123" s="492">
        <v>0</v>
      </c>
      <c r="Z123" s="492">
        <f t="shared" si="208"/>
        <v>0</v>
      </c>
      <c r="AA123" s="492">
        <f t="shared" si="209"/>
        <v>0</v>
      </c>
      <c r="AB123" s="494">
        <f t="shared" si="210"/>
        <v>0</v>
      </c>
      <c r="AC123" s="494">
        <f>ROUND(V123*1%,0)</f>
        <v>0</v>
      </c>
      <c r="AD123" s="14">
        <v>0</v>
      </c>
      <c r="AE123" s="753">
        <f t="shared" si="128"/>
        <v>0</v>
      </c>
      <c r="AF123" s="858">
        <v>0</v>
      </c>
      <c r="AG123" s="491">
        <v>0</v>
      </c>
      <c r="AH123" s="491">
        <v>0</v>
      </c>
      <c r="AI123" s="491">
        <v>0</v>
      </c>
      <c r="AJ123" s="491">
        <v>0</v>
      </c>
      <c r="AK123" s="491">
        <v>0</v>
      </c>
      <c r="AL123" s="609">
        <f>SUM(AF123:AK123)</f>
        <v>0</v>
      </c>
      <c r="AM123" s="676">
        <f>I123+AE123</f>
        <v>3048243</v>
      </c>
      <c r="AN123" s="492">
        <f>J123+V123</f>
        <v>2261308</v>
      </c>
      <c r="AO123" s="492">
        <f t="shared" si="211"/>
        <v>0</v>
      </c>
      <c r="AP123" s="492">
        <f t="shared" si="212"/>
        <v>764322</v>
      </c>
      <c r="AQ123" s="492">
        <f t="shared" si="212"/>
        <v>22613</v>
      </c>
      <c r="AR123" s="573">
        <f t="shared" si="212"/>
        <v>0</v>
      </c>
      <c r="AS123" s="609">
        <f>O123+AL123</f>
        <v>5.89</v>
      </c>
    </row>
    <row r="124" spans="1:45" ht="14.1" customHeight="1" x14ac:dyDescent="0.2">
      <c r="A124" s="499">
        <v>35</v>
      </c>
      <c r="B124" s="511">
        <v>2476</v>
      </c>
      <c r="C124" s="512">
        <v>600080170</v>
      </c>
      <c r="D124" s="511">
        <v>64040364</v>
      </c>
      <c r="E124" s="510" t="s">
        <v>586</v>
      </c>
      <c r="F124" s="499">
        <v>3143</v>
      </c>
      <c r="G124" s="513" t="s">
        <v>794</v>
      </c>
      <c r="H124" s="495" t="s">
        <v>262</v>
      </c>
      <c r="I124" s="610">
        <v>4502396</v>
      </c>
      <c r="J124" s="14">
        <v>3340056</v>
      </c>
      <c r="K124" s="14">
        <v>0</v>
      </c>
      <c r="L124" s="14">
        <v>1128939</v>
      </c>
      <c r="M124" s="14">
        <v>33401</v>
      </c>
      <c r="N124" s="14">
        <v>0</v>
      </c>
      <c r="O124" s="121">
        <v>6.07</v>
      </c>
      <c r="P124" s="676">
        <f t="shared" si="127"/>
        <v>0</v>
      </c>
      <c r="Q124" s="492">
        <v>0</v>
      </c>
      <c r="R124" s="492">
        <v>0</v>
      </c>
      <c r="S124" s="492">
        <v>0</v>
      </c>
      <c r="T124" s="492">
        <v>0</v>
      </c>
      <c r="U124" s="492">
        <v>0</v>
      </c>
      <c r="V124" s="492">
        <f>P124+Q124+R124+S124+T124+U124</f>
        <v>0</v>
      </c>
      <c r="W124" s="492">
        <v>0</v>
      </c>
      <c r="X124" s="492">
        <v>0</v>
      </c>
      <c r="Y124" s="492">
        <v>0</v>
      </c>
      <c r="Z124" s="492">
        <f t="shared" si="208"/>
        <v>0</v>
      </c>
      <c r="AA124" s="492">
        <f t="shared" si="209"/>
        <v>0</v>
      </c>
      <c r="AB124" s="494">
        <f t="shared" si="210"/>
        <v>0</v>
      </c>
      <c r="AC124" s="494">
        <f>ROUND(V124*1%,0)</f>
        <v>0</v>
      </c>
      <c r="AD124" s="14">
        <v>0</v>
      </c>
      <c r="AE124" s="753">
        <f t="shared" si="128"/>
        <v>0</v>
      </c>
      <c r="AF124" s="858">
        <v>0</v>
      </c>
      <c r="AG124" s="491">
        <v>0</v>
      </c>
      <c r="AH124" s="491">
        <v>0</v>
      </c>
      <c r="AI124" s="491">
        <v>0</v>
      </c>
      <c r="AJ124" s="491">
        <v>0</v>
      </c>
      <c r="AK124" s="491">
        <v>0</v>
      </c>
      <c r="AL124" s="609">
        <f>SUM(AF124:AK124)</f>
        <v>0</v>
      </c>
      <c r="AM124" s="676">
        <f>I124+AE124</f>
        <v>4502396</v>
      </c>
      <c r="AN124" s="492">
        <f>J124+V124</f>
        <v>3340056</v>
      </c>
      <c r="AO124" s="492">
        <f t="shared" si="211"/>
        <v>0</v>
      </c>
      <c r="AP124" s="492">
        <f t="shared" si="212"/>
        <v>1128939</v>
      </c>
      <c r="AQ124" s="492">
        <f t="shared" si="212"/>
        <v>33401</v>
      </c>
      <c r="AR124" s="573">
        <f t="shared" si="212"/>
        <v>0</v>
      </c>
      <c r="AS124" s="609">
        <f>O124+AL124</f>
        <v>6.07</v>
      </c>
    </row>
    <row r="125" spans="1:45" ht="14.1" customHeight="1" x14ac:dyDescent="0.2">
      <c r="A125" s="509">
        <v>35</v>
      </c>
      <c r="B125" s="507">
        <v>2476</v>
      </c>
      <c r="C125" s="508">
        <v>600080170</v>
      </c>
      <c r="D125" s="507">
        <v>64040364</v>
      </c>
      <c r="E125" s="505" t="s">
        <v>587</v>
      </c>
      <c r="F125" s="509"/>
      <c r="G125" s="505"/>
      <c r="H125" s="504"/>
      <c r="I125" s="612">
        <v>49651790</v>
      </c>
      <c r="J125" s="503">
        <v>36833672</v>
      </c>
      <c r="K125" s="503">
        <v>0</v>
      </c>
      <c r="L125" s="503">
        <v>12449781</v>
      </c>
      <c r="M125" s="503">
        <v>368337</v>
      </c>
      <c r="N125" s="503">
        <v>0</v>
      </c>
      <c r="O125" s="837">
        <v>55.141000000000005</v>
      </c>
      <c r="P125" s="612">
        <f t="shared" ref="P125:AS125" si="216">SUM(P121:P124)</f>
        <v>0</v>
      </c>
      <c r="Q125" s="502">
        <f t="shared" si="216"/>
        <v>0</v>
      </c>
      <c r="R125" s="502">
        <f t="shared" si="216"/>
        <v>0</v>
      </c>
      <c r="S125" s="502">
        <f t="shared" si="216"/>
        <v>0</v>
      </c>
      <c r="T125" s="502">
        <f t="shared" si="216"/>
        <v>0</v>
      </c>
      <c r="U125" s="502">
        <f t="shared" si="216"/>
        <v>0</v>
      </c>
      <c r="V125" s="502">
        <f t="shared" si="216"/>
        <v>0</v>
      </c>
      <c r="W125" s="502">
        <f t="shared" si="216"/>
        <v>0</v>
      </c>
      <c r="X125" s="502">
        <f t="shared" si="216"/>
        <v>0</v>
      </c>
      <c r="Y125" s="502">
        <f t="shared" si="216"/>
        <v>0</v>
      </c>
      <c r="Z125" s="502">
        <f t="shared" si="216"/>
        <v>0</v>
      </c>
      <c r="AA125" s="502">
        <f t="shared" si="216"/>
        <v>0</v>
      </c>
      <c r="AB125" s="502">
        <f t="shared" si="216"/>
        <v>0</v>
      </c>
      <c r="AC125" s="502">
        <f t="shared" si="216"/>
        <v>0</v>
      </c>
      <c r="AD125" s="502">
        <f t="shared" si="216"/>
        <v>0</v>
      </c>
      <c r="AE125" s="852">
        <f t="shared" si="216"/>
        <v>0</v>
      </c>
      <c r="AF125" s="857">
        <f t="shared" si="216"/>
        <v>0</v>
      </c>
      <c r="AG125" s="848">
        <f t="shared" si="216"/>
        <v>0</v>
      </c>
      <c r="AH125" s="848">
        <f t="shared" si="216"/>
        <v>0</v>
      </c>
      <c r="AI125" s="848">
        <f t="shared" si="216"/>
        <v>0</v>
      </c>
      <c r="AJ125" s="848">
        <f t="shared" si="216"/>
        <v>0</v>
      </c>
      <c r="AK125" s="848">
        <f t="shared" si="216"/>
        <v>0</v>
      </c>
      <c r="AL125" s="613">
        <f t="shared" si="216"/>
        <v>0</v>
      </c>
      <c r="AM125" s="612">
        <f t="shared" si="216"/>
        <v>49651790</v>
      </c>
      <c r="AN125" s="502">
        <f t="shared" si="216"/>
        <v>36833672</v>
      </c>
      <c r="AO125" s="549">
        <f t="shared" si="216"/>
        <v>0</v>
      </c>
      <c r="AP125" s="502">
        <f t="shared" si="216"/>
        <v>12449781</v>
      </c>
      <c r="AQ125" s="502">
        <f t="shared" si="216"/>
        <v>368337</v>
      </c>
      <c r="AR125" s="502">
        <f t="shared" si="216"/>
        <v>0</v>
      </c>
      <c r="AS125" s="613">
        <f t="shared" si="216"/>
        <v>55.141000000000005</v>
      </c>
    </row>
    <row r="126" spans="1:45" ht="14.1" customHeight="1" x14ac:dyDescent="0.2">
      <c r="A126" s="499">
        <v>36</v>
      </c>
      <c r="B126" s="511">
        <v>2477</v>
      </c>
      <c r="C126" s="512">
        <v>600079872</v>
      </c>
      <c r="D126" s="511">
        <v>68975147</v>
      </c>
      <c r="E126" s="510" t="s">
        <v>588</v>
      </c>
      <c r="F126" s="499">
        <v>3113</v>
      </c>
      <c r="G126" s="510" t="s">
        <v>280</v>
      </c>
      <c r="H126" s="495" t="s">
        <v>262</v>
      </c>
      <c r="I126" s="610">
        <v>45685686</v>
      </c>
      <c r="J126" s="14">
        <v>33881532</v>
      </c>
      <c r="K126" s="14">
        <v>10000</v>
      </c>
      <c r="L126" s="14">
        <v>11455338</v>
      </c>
      <c r="M126" s="14">
        <v>338816</v>
      </c>
      <c r="N126" s="14">
        <v>0</v>
      </c>
      <c r="O126" s="121">
        <v>45.993300000000005</v>
      </c>
      <c r="P126" s="676">
        <f t="shared" si="127"/>
        <v>0</v>
      </c>
      <c r="Q126" s="492">
        <v>0</v>
      </c>
      <c r="R126" s="492">
        <v>0</v>
      </c>
      <c r="S126" s="492">
        <v>0</v>
      </c>
      <c r="T126" s="492">
        <v>0</v>
      </c>
      <c r="U126" s="492">
        <v>0</v>
      </c>
      <c r="V126" s="492">
        <f>P126+Q126+R126+S126+T126+U126</f>
        <v>0</v>
      </c>
      <c r="W126" s="492">
        <v>0</v>
      </c>
      <c r="X126" s="492">
        <v>0</v>
      </c>
      <c r="Y126" s="492">
        <v>0</v>
      </c>
      <c r="Z126" s="492">
        <f t="shared" ref="Z126:Z129" si="217">W126+X126+Y126</f>
        <v>0</v>
      </c>
      <c r="AA126" s="492">
        <f t="shared" ref="AA126:AA129" si="218">V126+Z126</f>
        <v>0</v>
      </c>
      <c r="AB126" s="494">
        <f t="shared" ref="AB126:AB129" si="219">ROUND((V126+Z126)*33.8%,0)</f>
        <v>0</v>
      </c>
      <c r="AC126" s="494">
        <f>ROUND(V126*1%,0)</f>
        <v>0</v>
      </c>
      <c r="AD126" s="14">
        <v>0</v>
      </c>
      <c r="AE126" s="753">
        <f t="shared" si="128"/>
        <v>0</v>
      </c>
      <c r="AF126" s="858">
        <v>0</v>
      </c>
      <c r="AG126" s="491">
        <v>0</v>
      </c>
      <c r="AH126" s="491">
        <v>0</v>
      </c>
      <c r="AI126" s="491">
        <v>0</v>
      </c>
      <c r="AJ126" s="491">
        <v>0</v>
      </c>
      <c r="AK126" s="491">
        <v>0</v>
      </c>
      <c r="AL126" s="609">
        <f>SUM(AF126:AK126)</f>
        <v>0</v>
      </c>
      <c r="AM126" s="676">
        <f>I126+AE126</f>
        <v>45685686</v>
      </c>
      <c r="AN126" s="492">
        <f>J126+V126</f>
        <v>33881532</v>
      </c>
      <c r="AO126" s="492">
        <f t="shared" ref="AO126:AO129" si="220">K126+Z126</f>
        <v>10000</v>
      </c>
      <c r="AP126" s="492">
        <f t="shared" ref="AP126:AR129" si="221">L126+AB126</f>
        <v>11455338</v>
      </c>
      <c r="AQ126" s="492">
        <f t="shared" si="221"/>
        <v>338816</v>
      </c>
      <c r="AR126" s="573">
        <f t="shared" si="221"/>
        <v>0</v>
      </c>
      <c r="AS126" s="609">
        <f>O126+AL126</f>
        <v>45.993300000000005</v>
      </c>
    </row>
    <row r="127" spans="1:45" ht="14.1" customHeight="1" x14ac:dyDescent="0.2">
      <c r="A127" s="499">
        <v>36</v>
      </c>
      <c r="B127" s="511">
        <v>2477</v>
      </c>
      <c r="C127" s="512">
        <v>600079872</v>
      </c>
      <c r="D127" s="511">
        <v>68975147</v>
      </c>
      <c r="E127" s="510" t="s">
        <v>588</v>
      </c>
      <c r="F127" s="499">
        <v>3113</v>
      </c>
      <c r="G127" s="510" t="s">
        <v>799</v>
      </c>
      <c r="H127" s="495" t="s">
        <v>262</v>
      </c>
      <c r="I127" s="610">
        <v>390630</v>
      </c>
      <c r="J127" s="14">
        <v>289785</v>
      </c>
      <c r="K127" s="14">
        <v>0</v>
      </c>
      <c r="L127" s="14">
        <v>97947</v>
      </c>
      <c r="M127" s="14">
        <v>2898</v>
      </c>
      <c r="N127" s="14">
        <v>0</v>
      </c>
      <c r="O127" s="121">
        <v>0.5</v>
      </c>
      <c r="P127" s="676">
        <f t="shared" si="127"/>
        <v>0</v>
      </c>
      <c r="Q127" s="492">
        <v>0</v>
      </c>
      <c r="R127" s="492">
        <v>0</v>
      </c>
      <c r="S127" s="492">
        <v>0</v>
      </c>
      <c r="T127" s="492">
        <v>0</v>
      </c>
      <c r="U127" s="492">
        <v>0</v>
      </c>
      <c r="V127" s="492">
        <f>P127+Q127+R127+S127+T127+U127</f>
        <v>0</v>
      </c>
      <c r="W127" s="492">
        <v>0</v>
      </c>
      <c r="X127" s="492">
        <v>0</v>
      </c>
      <c r="Y127" s="492">
        <v>0</v>
      </c>
      <c r="Z127" s="492">
        <f t="shared" ref="Z127" si="222">W127+X127+Y127</f>
        <v>0</v>
      </c>
      <c r="AA127" s="492">
        <f t="shared" ref="AA127" si="223">V127+Z127</f>
        <v>0</v>
      </c>
      <c r="AB127" s="494">
        <f t="shared" ref="AB127" si="224">ROUND((V127+Z127)*33.8%,0)</f>
        <v>0</v>
      </c>
      <c r="AC127" s="494">
        <f>ROUND(V127*1%,0)</f>
        <v>0</v>
      </c>
      <c r="AD127" s="14">
        <v>0</v>
      </c>
      <c r="AE127" s="753">
        <f t="shared" si="128"/>
        <v>0</v>
      </c>
      <c r="AF127" s="858">
        <v>0</v>
      </c>
      <c r="AG127" s="491">
        <v>0</v>
      </c>
      <c r="AH127" s="491">
        <v>0</v>
      </c>
      <c r="AI127" s="491">
        <v>0</v>
      </c>
      <c r="AJ127" s="491">
        <v>0</v>
      </c>
      <c r="AK127" s="491">
        <v>0</v>
      </c>
      <c r="AL127" s="609">
        <f>SUM(AF127:AK127)</f>
        <v>0</v>
      </c>
      <c r="AM127" s="676">
        <f>I127+AE127</f>
        <v>390630</v>
      </c>
      <c r="AN127" s="492">
        <f>J127+V127</f>
        <v>289785</v>
      </c>
      <c r="AO127" s="492">
        <f t="shared" si="220"/>
        <v>0</v>
      </c>
      <c r="AP127" s="492">
        <f t="shared" si="221"/>
        <v>97947</v>
      </c>
      <c r="AQ127" s="492">
        <f t="shared" si="221"/>
        <v>2898</v>
      </c>
      <c r="AR127" s="573">
        <f t="shared" si="221"/>
        <v>0</v>
      </c>
      <c r="AS127" s="609">
        <f>O127+AL127</f>
        <v>0.5</v>
      </c>
    </row>
    <row r="128" spans="1:45" ht="14.1" customHeight="1" x14ac:dyDescent="0.2">
      <c r="A128" s="499">
        <v>36</v>
      </c>
      <c r="B128" s="511">
        <v>2477</v>
      </c>
      <c r="C128" s="512">
        <v>600079872</v>
      </c>
      <c r="D128" s="511">
        <v>68975147</v>
      </c>
      <c r="E128" s="510" t="s">
        <v>588</v>
      </c>
      <c r="F128" s="499">
        <v>3113</v>
      </c>
      <c r="G128" s="513" t="s">
        <v>278</v>
      </c>
      <c r="H128" s="495" t="s">
        <v>263</v>
      </c>
      <c r="I128" s="610">
        <v>4015839</v>
      </c>
      <c r="J128" s="490">
        <v>2969183</v>
      </c>
      <c r="K128" s="490">
        <v>10000</v>
      </c>
      <c r="L128" s="14">
        <v>1006964</v>
      </c>
      <c r="M128" s="14">
        <v>29692</v>
      </c>
      <c r="N128" s="14">
        <v>0</v>
      </c>
      <c r="O128" s="664">
        <v>7.21</v>
      </c>
      <c r="P128" s="676">
        <f t="shared" si="127"/>
        <v>0</v>
      </c>
      <c r="Q128" s="492">
        <v>0</v>
      </c>
      <c r="R128" s="492">
        <v>0</v>
      </c>
      <c r="S128" s="492">
        <v>0</v>
      </c>
      <c r="T128" s="492">
        <v>0</v>
      </c>
      <c r="U128" s="492">
        <v>0</v>
      </c>
      <c r="V128" s="492">
        <f>P128+Q128+R128+S128+T128+U128</f>
        <v>0</v>
      </c>
      <c r="W128" s="492">
        <v>0</v>
      </c>
      <c r="X128" s="492">
        <v>0</v>
      </c>
      <c r="Y128" s="492">
        <v>0</v>
      </c>
      <c r="Z128" s="492">
        <f t="shared" si="217"/>
        <v>0</v>
      </c>
      <c r="AA128" s="492">
        <f t="shared" si="218"/>
        <v>0</v>
      </c>
      <c r="AB128" s="494">
        <f t="shared" si="219"/>
        <v>0</v>
      </c>
      <c r="AC128" s="494">
        <f>ROUND(V128*1%,0)</f>
        <v>0</v>
      </c>
      <c r="AD128" s="14">
        <v>0</v>
      </c>
      <c r="AE128" s="753">
        <f t="shared" si="128"/>
        <v>0</v>
      </c>
      <c r="AF128" s="858">
        <v>0</v>
      </c>
      <c r="AG128" s="491">
        <v>0</v>
      </c>
      <c r="AH128" s="491">
        <v>0</v>
      </c>
      <c r="AI128" s="491">
        <v>0</v>
      </c>
      <c r="AJ128" s="491">
        <v>0</v>
      </c>
      <c r="AK128" s="491">
        <v>0</v>
      </c>
      <c r="AL128" s="609">
        <f>SUM(AF128:AK128)</f>
        <v>0</v>
      </c>
      <c r="AM128" s="676">
        <f>I128+AE128</f>
        <v>4015839</v>
      </c>
      <c r="AN128" s="492">
        <f>J128+V128</f>
        <v>2969183</v>
      </c>
      <c r="AO128" s="492">
        <f t="shared" si="220"/>
        <v>10000</v>
      </c>
      <c r="AP128" s="492">
        <f t="shared" si="221"/>
        <v>1006964</v>
      </c>
      <c r="AQ128" s="492">
        <f t="shared" si="221"/>
        <v>29692</v>
      </c>
      <c r="AR128" s="573">
        <f t="shared" si="221"/>
        <v>0</v>
      </c>
      <c r="AS128" s="609">
        <f>O128+AL128</f>
        <v>7.21</v>
      </c>
    </row>
    <row r="129" spans="1:45" ht="14.1" customHeight="1" x14ac:dyDescent="0.2">
      <c r="A129" s="499">
        <v>36</v>
      </c>
      <c r="B129" s="511">
        <v>2477</v>
      </c>
      <c r="C129" s="512">
        <v>600079872</v>
      </c>
      <c r="D129" s="511">
        <v>68975147</v>
      </c>
      <c r="E129" s="510" t="s">
        <v>588</v>
      </c>
      <c r="F129" s="499">
        <v>3143</v>
      </c>
      <c r="G129" s="513" t="s">
        <v>794</v>
      </c>
      <c r="H129" s="495" t="s">
        <v>262</v>
      </c>
      <c r="I129" s="610">
        <v>4691367</v>
      </c>
      <c r="J129" s="14">
        <v>3470317</v>
      </c>
      <c r="K129" s="14">
        <v>10000</v>
      </c>
      <c r="L129" s="14">
        <v>1176347</v>
      </c>
      <c r="M129" s="14">
        <v>34703</v>
      </c>
      <c r="N129" s="14">
        <v>0</v>
      </c>
      <c r="O129" s="121">
        <v>6.1471</v>
      </c>
      <c r="P129" s="676">
        <f t="shared" si="127"/>
        <v>0</v>
      </c>
      <c r="Q129" s="492">
        <v>0</v>
      </c>
      <c r="R129" s="492">
        <v>0</v>
      </c>
      <c r="S129" s="492">
        <v>0</v>
      </c>
      <c r="T129" s="492">
        <v>0</v>
      </c>
      <c r="U129" s="492">
        <v>0</v>
      </c>
      <c r="V129" s="492">
        <f>P129+Q129+R129+S129+T129+U129</f>
        <v>0</v>
      </c>
      <c r="W129" s="492">
        <v>0</v>
      </c>
      <c r="X129" s="492">
        <v>0</v>
      </c>
      <c r="Y129" s="492">
        <v>0</v>
      </c>
      <c r="Z129" s="492">
        <f t="shared" si="217"/>
        <v>0</v>
      </c>
      <c r="AA129" s="492">
        <f t="shared" si="218"/>
        <v>0</v>
      </c>
      <c r="AB129" s="494">
        <f t="shared" si="219"/>
        <v>0</v>
      </c>
      <c r="AC129" s="494">
        <f>ROUND(V129*1%,0)</f>
        <v>0</v>
      </c>
      <c r="AD129" s="14">
        <v>0</v>
      </c>
      <c r="AE129" s="753">
        <f t="shared" si="128"/>
        <v>0</v>
      </c>
      <c r="AF129" s="858">
        <v>0</v>
      </c>
      <c r="AG129" s="491">
        <v>0</v>
      </c>
      <c r="AH129" s="491">
        <v>0</v>
      </c>
      <c r="AI129" s="491">
        <v>0</v>
      </c>
      <c r="AJ129" s="491">
        <v>0</v>
      </c>
      <c r="AK129" s="491">
        <v>0</v>
      </c>
      <c r="AL129" s="609">
        <f>SUM(AF129:AK129)</f>
        <v>0</v>
      </c>
      <c r="AM129" s="676">
        <f>I129+AE129</f>
        <v>4691367</v>
      </c>
      <c r="AN129" s="492">
        <f>J129+V129</f>
        <v>3470317</v>
      </c>
      <c r="AO129" s="492">
        <f t="shared" si="220"/>
        <v>10000</v>
      </c>
      <c r="AP129" s="492">
        <f t="shared" si="221"/>
        <v>1176347</v>
      </c>
      <c r="AQ129" s="492">
        <f t="shared" si="221"/>
        <v>34703</v>
      </c>
      <c r="AR129" s="573">
        <f t="shared" si="221"/>
        <v>0</v>
      </c>
      <c r="AS129" s="609">
        <f>O129+AL129</f>
        <v>6.1471</v>
      </c>
    </row>
    <row r="130" spans="1:45" ht="14.1" customHeight="1" x14ac:dyDescent="0.2">
      <c r="A130" s="509">
        <v>36</v>
      </c>
      <c r="B130" s="507">
        <v>2477</v>
      </c>
      <c r="C130" s="508">
        <v>600079872</v>
      </c>
      <c r="D130" s="507">
        <v>68975147</v>
      </c>
      <c r="E130" s="505" t="s">
        <v>589</v>
      </c>
      <c r="F130" s="509"/>
      <c r="G130" s="505"/>
      <c r="H130" s="504"/>
      <c r="I130" s="612">
        <v>54783522</v>
      </c>
      <c r="J130" s="503">
        <v>40610817</v>
      </c>
      <c r="K130" s="503">
        <v>30000</v>
      </c>
      <c r="L130" s="503">
        <v>13736596</v>
      </c>
      <c r="M130" s="503">
        <v>406109</v>
      </c>
      <c r="N130" s="503">
        <v>0</v>
      </c>
      <c r="O130" s="837">
        <v>59.850400000000008</v>
      </c>
      <c r="P130" s="612">
        <f t="shared" ref="P130:AS130" si="225">SUM(P126:P129)</f>
        <v>0</v>
      </c>
      <c r="Q130" s="502">
        <f t="shared" si="225"/>
        <v>0</v>
      </c>
      <c r="R130" s="502">
        <f t="shared" si="225"/>
        <v>0</v>
      </c>
      <c r="S130" s="502">
        <f t="shared" si="225"/>
        <v>0</v>
      </c>
      <c r="T130" s="502">
        <f t="shared" si="225"/>
        <v>0</v>
      </c>
      <c r="U130" s="502">
        <f t="shared" si="225"/>
        <v>0</v>
      </c>
      <c r="V130" s="502">
        <f t="shared" si="225"/>
        <v>0</v>
      </c>
      <c r="W130" s="502">
        <f t="shared" si="225"/>
        <v>0</v>
      </c>
      <c r="X130" s="502">
        <f t="shared" si="225"/>
        <v>0</v>
      </c>
      <c r="Y130" s="502">
        <f t="shared" si="225"/>
        <v>0</v>
      </c>
      <c r="Z130" s="502">
        <f t="shared" si="225"/>
        <v>0</v>
      </c>
      <c r="AA130" s="502">
        <f t="shared" si="225"/>
        <v>0</v>
      </c>
      <c r="AB130" s="502">
        <f t="shared" si="225"/>
        <v>0</v>
      </c>
      <c r="AC130" s="502">
        <f t="shared" si="225"/>
        <v>0</v>
      </c>
      <c r="AD130" s="502">
        <f t="shared" si="225"/>
        <v>0</v>
      </c>
      <c r="AE130" s="852">
        <f t="shared" si="225"/>
        <v>0</v>
      </c>
      <c r="AF130" s="857">
        <f t="shared" si="225"/>
        <v>0</v>
      </c>
      <c r="AG130" s="848">
        <f t="shared" si="225"/>
        <v>0</v>
      </c>
      <c r="AH130" s="848">
        <f t="shared" si="225"/>
        <v>0</v>
      </c>
      <c r="AI130" s="848">
        <f t="shared" si="225"/>
        <v>0</v>
      </c>
      <c r="AJ130" s="848">
        <f t="shared" si="225"/>
        <v>0</v>
      </c>
      <c r="AK130" s="848">
        <f t="shared" si="225"/>
        <v>0</v>
      </c>
      <c r="AL130" s="613">
        <f t="shared" si="225"/>
        <v>0</v>
      </c>
      <c r="AM130" s="612">
        <f t="shared" si="225"/>
        <v>54783522</v>
      </c>
      <c r="AN130" s="502">
        <f t="shared" si="225"/>
        <v>40610817</v>
      </c>
      <c r="AO130" s="549">
        <f t="shared" si="225"/>
        <v>30000</v>
      </c>
      <c r="AP130" s="502">
        <f t="shared" si="225"/>
        <v>13736596</v>
      </c>
      <c r="AQ130" s="502">
        <f t="shared" si="225"/>
        <v>406109</v>
      </c>
      <c r="AR130" s="502">
        <f t="shared" si="225"/>
        <v>0</v>
      </c>
      <c r="AS130" s="613">
        <f t="shared" si="225"/>
        <v>59.850400000000008</v>
      </c>
    </row>
    <row r="131" spans="1:45" ht="14.1" customHeight="1" x14ac:dyDescent="0.2">
      <c r="A131" s="499">
        <v>37</v>
      </c>
      <c r="B131" s="511">
        <v>2470</v>
      </c>
      <c r="C131" s="512">
        <v>600080013</v>
      </c>
      <c r="D131" s="511">
        <v>72741554</v>
      </c>
      <c r="E131" s="510" t="s">
        <v>590</v>
      </c>
      <c r="F131" s="499">
        <v>3113</v>
      </c>
      <c r="G131" s="510" t="s">
        <v>280</v>
      </c>
      <c r="H131" s="495" t="s">
        <v>262</v>
      </c>
      <c r="I131" s="610">
        <v>39928233</v>
      </c>
      <c r="J131" s="14">
        <v>29501242</v>
      </c>
      <c r="K131" s="14">
        <v>120000</v>
      </c>
      <c r="L131" s="14">
        <v>10011979</v>
      </c>
      <c r="M131" s="14">
        <v>295012</v>
      </c>
      <c r="N131" s="14">
        <v>0</v>
      </c>
      <c r="O131" s="121">
        <v>35.435200000000002</v>
      </c>
      <c r="P131" s="676">
        <f t="shared" si="127"/>
        <v>0</v>
      </c>
      <c r="Q131" s="492">
        <v>0</v>
      </c>
      <c r="R131" s="492">
        <v>0</v>
      </c>
      <c r="S131" s="492">
        <v>0</v>
      </c>
      <c r="T131" s="492">
        <v>0</v>
      </c>
      <c r="U131" s="492">
        <v>0</v>
      </c>
      <c r="V131" s="492">
        <f>P131+Q131+R131+S131+T131+U131</f>
        <v>0</v>
      </c>
      <c r="W131" s="492">
        <v>0</v>
      </c>
      <c r="X131" s="492">
        <v>0</v>
      </c>
      <c r="Y131" s="492">
        <v>0</v>
      </c>
      <c r="Z131" s="492">
        <f t="shared" ref="Z131:Z134" si="226">W131+X131+Y131</f>
        <v>0</v>
      </c>
      <c r="AA131" s="492">
        <f t="shared" ref="AA131:AA134" si="227">V131+Z131</f>
        <v>0</v>
      </c>
      <c r="AB131" s="494">
        <f t="shared" ref="AB131:AB134" si="228">ROUND((V131+Z131)*33.8%,0)</f>
        <v>0</v>
      </c>
      <c r="AC131" s="494">
        <f>ROUND(V131*1%,0)</f>
        <v>0</v>
      </c>
      <c r="AD131" s="14">
        <v>0</v>
      </c>
      <c r="AE131" s="753">
        <f t="shared" si="128"/>
        <v>0</v>
      </c>
      <c r="AF131" s="858">
        <v>0</v>
      </c>
      <c r="AG131" s="491">
        <v>0</v>
      </c>
      <c r="AH131" s="491">
        <v>0</v>
      </c>
      <c r="AI131" s="491">
        <v>0</v>
      </c>
      <c r="AJ131" s="491">
        <v>0</v>
      </c>
      <c r="AK131" s="491">
        <v>0</v>
      </c>
      <c r="AL131" s="609">
        <f>SUM(AF131:AK131)</f>
        <v>0</v>
      </c>
      <c r="AM131" s="676">
        <f>I131+AE131</f>
        <v>39928233</v>
      </c>
      <c r="AN131" s="492">
        <f>J131+V131</f>
        <v>29501242</v>
      </c>
      <c r="AO131" s="492">
        <f t="shared" ref="AO131:AO134" si="229">K131+Z131</f>
        <v>120000</v>
      </c>
      <c r="AP131" s="492">
        <f t="shared" ref="AP131:AR134" si="230">L131+AB131</f>
        <v>10011979</v>
      </c>
      <c r="AQ131" s="492">
        <f t="shared" si="230"/>
        <v>295012</v>
      </c>
      <c r="AR131" s="573">
        <f t="shared" si="230"/>
        <v>0</v>
      </c>
      <c r="AS131" s="609">
        <f>O131+AL131</f>
        <v>35.435200000000002</v>
      </c>
    </row>
    <row r="132" spans="1:45" ht="14.1" customHeight="1" x14ac:dyDescent="0.2">
      <c r="A132" s="499">
        <v>37</v>
      </c>
      <c r="B132" s="511">
        <v>2470</v>
      </c>
      <c r="C132" s="512">
        <v>600080013</v>
      </c>
      <c r="D132" s="511">
        <v>72741554</v>
      </c>
      <c r="E132" s="510" t="s">
        <v>590</v>
      </c>
      <c r="F132" s="499">
        <v>3113</v>
      </c>
      <c r="G132" s="510" t="s">
        <v>799</v>
      </c>
      <c r="H132" s="495" t="s">
        <v>262</v>
      </c>
      <c r="I132" s="610">
        <v>761065</v>
      </c>
      <c r="J132" s="14">
        <v>564588</v>
      </c>
      <c r="K132" s="14">
        <v>0</v>
      </c>
      <c r="L132" s="14">
        <v>190831</v>
      </c>
      <c r="M132" s="14">
        <v>5646</v>
      </c>
      <c r="N132" s="14">
        <v>0</v>
      </c>
      <c r="O132" s="121">
        <v>1</v>
      </c>
      <c r="P132" s="676">
        <f t="shared" si="127"/>
        <v>0</v>
      </c>
      <c r="Q132" s="492">
        <v>0</v>
      </c>
      <c r="R132" s="492">
        <v>0</v>
      </c>
      <c r="S132" s="492">
        <v>0</v>
      </c>
      <c r="T132" s="492">
        <v>0</v>
      </c>
      <c r="U132" s="492">
        <v>0</v>
      </c>
      <c r="V132" s="492">
        <f>P132+Q132+R132+S132+T132+U132</f>
        <v>0</v>
      </c>
      <c r="W132" s="492">
        <v>0</v>
      </c>
      <c r="X132" s="492">
        <v>0</v>
      </c>
      <c r="Y132" s="492">
        <v>0</v>
      </c>
      <c r="Z132" s="492">
        <f t="shared" ref="Z132" si="231">W132+X132+Y132</f>
        <v>0</v>
      </c>
      <c r="AA132" s="492">
        <f t="shared" ref="AA132" si="232">V132+Z132</f>
        <v>0</v>
      </c>
      <c r="AB132" s="494">
        <f t="shared" ref="AB132" si="233">ROUND((V132+Z132)*33.8%,0)</f>
        <v>0</v>
      </c>
      <c r="AC132" s="494">
        <f>ROUND(V132*1%,0)</f>
        <v>0</v>
      </c>
      <c r="AD132" s="14">
        <v>0</v>
      </c>
      <c r="AE132" s="753">
        <f t="shared" si="128"/>
        <v>0</v>
      </c>
      <c r="AF132" s="858">
        <v>0</v>
      </c>
      <c r="AG132" s="491">
        <v>0</v>
      </c>
      <c r="AH132" s="491">
        <v>0</v>
      </c>
      <c r="AI132" s="491">
        <v>0</v>
      </c>
      <c r="AJ132" s="491">
        <v>0</v>
      </c>
      <c r="AK132" s="491">
        <v>0</v>
      </c>
      <c r="AL132" s="609">
        <f>SUM(AF132:AK132)</f>
        <v>0</v>
      </c>
      <c r="AM132" s="676">
        <f>I132+AE132</f>
        <v>761065</v>
      </c>
      <c r="AN132" s="492">
        <f>J132+V132</f>
        <v>564588</v>
      </c>
      <c r="AO132" s="492">
        <f t="shared" si="229"/>
        <v>0</v>
      </c>
      <c r="AP132" s="492">
        <f t="shared" si="230"/>
        <v>190831</v>
      </c>
      <c r="AQ132" s="492">
        <f t="shared" si="230"/>
        <v>5646</v>
      </c>
      <c r="AR132" s="573">
        <f t="shared" si="230"/>
        <v>0</v>
      </c>
      <c r="AS132" s="609">
        <f>O132+AL132</f>
        <v>1</v>
      </c>
    </row>
    <row r="133" spans="1:45" ht="14.1" customHeight="1" x14ac:dyDescent="0.2">
      <c r="A133" s="499">
        <v>37</v>
      </c>
      <c r="B133" s="511">
        <v>2470</v>
      </c>
      <c r="C133" s="512">
        <v>600080013</v>
      </c>
      <c r="D133" s="511">
        <v>72741554</v>
      </c>
      <c r="E133" s="510" t="s">
        <v>590</v>
      </c>
      <c r="F133" s="499">
        <v>3113</v>
      </c>
      <c r="G133" s="513" t="s">
        <v>278</v>
      </c>
      <c r="H133" s="495" t="s">
        <v>263</v>
      </c>
      <c r="I133" s="610">
        <v>2929374</v>
      </c>
      <c r="J133" s="490">
        <v>2173126</v>
      </c>
      <c r="K133" s="490">
        <v>0</v>
      </c>
      <c r="L133" s="14">
        <v>734517</v>
      </c>
      <c r="M133" s="14">
        <v>21731</v>
      </c>
      <c r="N133" s="14">
        <v>0</v>
      </c>
      <c r="O133" s="664">
        <v>5.67</v>
      </c>
      <c r="P133" s="676">
        <f t="shared" si="127"/>
        <v>0</v>
      </c>
      <c r="Q133" s="492">
        <v>0</v>
      </c>
      <c r="R133" s="492">
        <v>0</v>
      </c>
      <c r="S133" s="492">
        <v>0</v>
      </c>
      <c r="T133" s="492">
        <v>0</v>
      </c>
      <c r="U133" s="492">
        <v>0</v>
      </c>
      <c r="V133" s="492">
        <f>P133+Q133+R133+S133+T133+U133</f>
        <v>0</v>
      </c>
      <c r="W133" s="492">
        <v>0</v>
      </c>
      <c r="X133" s="492">
        <v>0</v>
      </c>
      <c r="Y133" s="492">
        <v>0</v>
      </c>
      <c r="Z133" s="492">
        <f t="shared" si="226"/>
        <v>0</v>
      </c>
      <c r="AA133" s="492">
        <f t="shared" si="227"/>
        <v>0</v>
      </c>
      <c r="AB133" s="494">
        <f t="shared" si="228"/>
        <v>0</v>
      </c>
      <c r="AC133" s="494">
        <f>ROUND(V133*1%,0)</f>
        <v>0</v>
      </c>
      <c r="AD133" s="14">
        <v>0</v>
      </c>
      <c r="AE133" s="753">
        <f t="shared" si="128"/>
        <v>0</v>
      </c>
      <c r="AF133" s="858">
        <v>0</v>
      </c>
      <c r="AG133" s="491">
        <v>0</v>
      </c>
      <c r="AH133" s="491">
        <v>0</v>
      </c>
      <c r="AI133" s="491">
        <v>0</v>
      </c>
      <c r="AJ133" s="491">
        <v>0</v>
      </c>
      <c r="AK133" s="491">
        <v>0</v>
      </c>
      <c r="AL133" s="609">
        <f>SUM(AF133:AK133)</f>
        <v>0</v>
      </c>
      <c r="AM133" s="676">
        <f>I133+AE133</f>
        <v>2929374</v>
      </c>
      <c r="AN133" s="492">
        <f>J133+V133</f>
        <v>2173126</v>
      </c>
      <c r="AO133" s="492">
        <f t="shared" si="229"/>
        <v>0</v>
      </c>
      <c r="AP133" s="492">
        <f t="shared" si="230"/>
        <v>734517</v>
      </c>
      <c r="AQ133" s="492">
        <f t="shared" si="230"/>
        <v>21731</v>
      </c>
      <c r="AR133" s="573">
        <f t="shared" si="230"/>
        <v>0</v>
      </c>
      <c r="AS133" s="609">
        <f>O133+AL133</f>
        <v>5.67</v>
      </c>
    </row>
    <row r="134" spans="1:45" ht="14.1" customHeight="1" x14ac:dyDescent="0.2">
      <c r="A134" s="499">
        <v>37</v>
      </c>
      <c r="B134" s="511">
        <v>2470</v>
      </c>
      <c r="C134" s="512">
        <v>600080013</v>
      </c>
      <c r="D134" s="511">
        <v>72741554</v>
      </c>
      <c r="E134" s="510" t="s">
        <v>590</v>
      </c>
      <c r="F134" s="499">
        <v>3143</v>
      </c>
      <c r="G134" s="513" t="s">
        <v>795</v>
      </c>
      <c r="H134" s="495" t="s">
        <v>262</v>
      </c>
      <c r="I134" s="610">
        <v>7046710</v>
      </c>
      <c r="J134" s="14">
        <v>5148123</v>
      </c>
      <c r="K134" s="14">
        <v>80000</v>
      </c>
      <c r="L134" s="14">
        <v>1767106</v>
      </c>
      <c r="M134" s="14">
        <v>51481</v>
      </c>
      <c r="N134" s="14">
        <v>0</v>
      </c>
      <c r="O134" s="121">
        <v>9.7540999999999993</v>
      </c>
      <c r="P134" s="676">
        <f t="shared" si="127"/>
        <v>0</v>
      </c>
      <c r="Q134" s="492">
        <v>0</v>
      </c>
      <c r="R134" s="492">
        <v>0</v>
      </c>
      <c r="S134" s="492">
        <v>0</v>
      </c>
      <c r="T134" s="492">
        <v>0</v>
      </c>
      <c r="U134" s="492">
        <v>0</v>
      </c>
      <c r="V134" s="492">
        <f>P134+Q134+R134+S134+T134+U134</f>
        <v>0</v>
      </c>
      <c r="W134" s="492">
        <v>0</v>
      </c>
      <c r="X134" s="492">
        <v>0</v>
      </c>
      <c r="Y134" s="492">
        <v>0</v>
      </c>
      <c r="Z134" s="492">
        <f t="shared" si="226"/>
        <v>0</v>
      </c>
      <c r="AA134" s="492">
        <f t="shared" si="227"/>
        <v>0</v>
      </c>
      <c r="AB134" s="494">
        <f t="shared" si="228"/>
        <v>0</v>
      </c>
      <c r="AC134" s="494">
        <f>ROUND(V134*1%,0)</f>
        <v>0</v>
      </c>
      <c r="AD134" s="14">
        <v>0</v>
      </c>
      <c r="AE134" s="753">
        <f t="shared" si="128"/>
        <v>0</v>
      </c>
      <c r="AF134" s="858">
        <v>0</v>
      </c>
      <c r="AG134" s="491">
        <v>0</v>
      </c>
      <c r="AH134" s="491">
        <v>0</v>
      </c>
      <c r="AI134" s="491">
        <v>0</v>
      </c>
      <c r="AJ134" s="491">
        <v>0</v>
      </c>
      <c r="AK134" s="491">
        <v>0</v>
      </c>
      <c r="AL134" s="609">
        <f>SUM(AF134:AK134)</f>
        <v>0</v>
      </c>
      <c r="AM134" s="676">
        <f>I134+AE134</f>
        <v>7046710</v>
      </c>
      <c r="AN134" s="492">
        <f>J134+V134</f>
        <v>5148123</v>
      </c>
      <c r="AO134" s="492">
        <f t="shared" si="229"/>
        <v>80000</v>
      </c>
      <c r="AP134" s="492">
        <f t="shared" si="230"/>
        <v>1767106</v>
      </c>
      <c r="AQ134" s="492">
        <f t="shared" si="230"/>
        <v>51481</v>
      </c>
      <c r="AR134" s="573">
        <f t="shared" si="230"/>
        <v>0</v>
      </c>
      <c r="AS134" s="609">
        <f>O134+AL134</f>
        <v>9.7540999999999993</v>
      </c>
    </row>
    <row r="135" spans="1:45" ht="14.1" customHeight="1" x14ac:dyDescent="0.2">
      <c r="A135" s="509">
        <v>37</v>
      </c>
      <c r="B135" s="507">
        <v>2470</v>
      </c>
      <c r="C135" s="508">
        <v>600080013</v>
      </c>
      <c r="D135" s="507">
        <v>72741554</v>
      </c>
      <c r="E135" s="505" t="s">
        <v>591</v>
      </c>
      <c r="F135" s="509"/>
      <c r="G135" s="505"/>
      <c r="H135" s="504"/>
      <c r="I135" s="612">
        <v>50665382</v>
      </c>
      <c r="J135" s="503">
        <v>37387079</v>
      </c>
      <c r="K135" s="503">
        <v>200000</v>
      </c>
      <c r="L135" s="503">
        <v>12704433</v>
      </c>
      <c r="M135" s="503">
        <v>373870</v>
      </c>
      <c r="N135" s="503">
        <v>0</v>
      </c>
      <c r="O135" s="837">
        <v>51.859300000000005</v>
      </c>
      <c r="P135" s="612">
        <f t="shared" ref="P135:AS135" si="234">SUM(P131:P134)</f>
        <v>0</v>
      </c>
      <c r="Q135" s="502">
        <f t="shared" si="234"/>
        <v>0</v>
      </c>
      <c r="R135" s="502">
        <f t="shared" si="234"/>
        <v>0</v>
      </c>
      <c r="S135" s="502">
        <f t="shared" si="234"/>
        <v>0</v>
      </c>
      <c r="T135" s="502">
        <f t="shared" si="234"/>
        <v>0</v>
      </c>
      <c r="U135" s="502">
        <f t="shared" si="234"/>
        <v>0</v>
      </c>
      <c r="V135" s="502">
        <f t="shared" si="234"/>
        <v>0</v>
      </c>
      <c r="W135" s="502">
        <f t="shared" si="234"/>
        <v>0</v>
      </c>
      <c r="X135" s="502">
        <f t="shared" si="234"/>
        <v>0</v>
      </c>
      <c r="Y135" s="502">
        <f t="shared" si="234"/>
        <v>0</v>
      </c>
      <c r="Z135" s="502">
        <f t="shared" si="234"/>
        <v>0</v>
      </c>
      <c r="AA135" s="502">
        <f t="shared" si="234"/>
        <v>0</v>
      </c>
      <c r="AB135" s="502">
        <f t="shared" si="234"/>
        <v>0</v>
      </c>
      <c r="AC135" s="502">
        <f t="shared" si="234"/>
        <v>0</v>
      </c>
      <c r="AD135" s="502">
        <f t="shared" si="234"/>
        <v>0</v>
      </c>
      <c r="AE135" s="852">
        <f t="shared" si="234"/>
        <v>0</v>
      </c>
      <c r="AF135" s="857">
        <f t="shared" si="234"/>
        <v>0</v>
      </c>
      <c r="AG135" s="848">
        <f t="shared" si="234"/>
        <v>0</v>
      </c>
      <c r="AH135" s="848">
        <f t="shared" si="234"/>
        <v>0</v>
      </c>
      <c r="AI135" s="848">
        <f t="shared" si="234"/>
        <v>0</v>
      </c>
      <c r="AJ135" s="848">
        <f t="shared" si="234"/>
        <v>0</v>
      </c>
      <c r="AK135" s="848">
        <f t="shared" si="234"/>
        <v>0</v>
      </c>
      <c r="AL135" s="613">
        <f t="shared" si="234"/>
        <v>0</v>
      </c>
      <c r="AM135" s="612">
        <f t="shared" si="234"/>
        <v>50665382</v>
      </c>
      <c r="AN135" s="502">
        <f t="shared" si="234"/>
        <v>37387079</v>
      </c>
      <c r="AO135" s="549">
        <f t="shared" si="234"/>
        <v>200000</v>
      </c>
      <c r="AP135" s="502">
        <f t="shared" si="234"/>
        <v>12704433</v>
      </c>
      <c r="AQ135" s="502">
        <f t="shared" si="234"/>
        <v>373870</v>
      </c>
      <c r="AR135" s="502">
        <f t="shared" si="234"/>
        <v>0</v>
      </c>
      <c r="AS135" s="613">
        <f t="shared" si="234"/>
        <v>51.859300000000005</v>
      </c>
    </row>
    <row r="136" spans="1:45" ht="14.1" customHeight="1" x14ac:dyDescent="0.2">
      <c r="A136" s="499">
        <v>38</v>
      </c>
      <c r="B136" s="511">
        <v>2307</v>
      </c>
      <c r="C136" s="512">
        <v>600079911</v>
      </c>
      <c r="D136" s="511">
        <v>72743212</v>
      </c>
      <c r="E136" s="510" t="s">
        <v>592</v>
      </c>
      <c r="F136" s="499">
        <v>3113</v>
      </c>
      <c r="G136" s="510" t="s">
        <v>280</v>
      </c>
      <c r="H136" s="495" t="s">
        <v>262</v>
      </c>
      <c r="I136" s="610">
        <v>41045427</v>
      </c>
      <c r="J136" s="14">
        <v>30399501</v>
      </c>
      <c r="K136" s="14">
        <v>50000</v>
      </c>
      <c r="L136" s="14">
        <v>10291931</v>
      </c>
      <c r="M136" s="14">
        <v>303995</v>
      </c>
      <c r="N136" s="14">
        <v>0</v>
      </c>
      <c r="O136" s="121">
        <v>40.4998</v>
      </c>
      <c r="P136" s="676">
        <f t="shared" si="127"/>
        <v>0</v>
      </c>
      <c r="Q136" s="492">
        <v>0</v>
      </c>
      <c r="R136" s="492">
        <v>0</v>
      </c>
      <c r="S136" s="492">
        <v>0</v>
      </c>
      <c r="T136" s="492">
        <v>0</v>
      </c>
      <c r="U136" s="492">
        <v>0</v>
      </c>
      <c r="V136" s="492">
        <f>P136+Q136+R136+S136+T136+U136</f>
        <v>0</v>
      </c>
      <c r="W136" s="492">
        <v>0</v>
      </c>
      <c r="X136" s="492">
        <v>0</v>
      </c>
      <c r="Y136" s="492">
        <v>0</v>
      </c>
      <c r="Z136" s="492">
        <f t="shared" ref="Z136:Z140" si="235">W136+X136+Y136</f>
        <v>0</v>
      </c>
      <c r="AA136" s="492">
        <f t="shared" ref="AA136:AA140" si="236">V136+Z136</f>
        <v>0</v>
      </c>
      <c r="AB136" s="494">
        <f t="shared" ref="AB136:AB140" si="237">ROUND((V136+Z136)*33.8%,0)</f>
        <v>0</v>
      </c>
      <c r="AC136" s="494">
        <f>ROUND(V136*1%,0)</f>
        <v>0</v>
      </c>
      <c r="AD136" s="14">
        <v>0</v>
      </c>
      <c r="AE136" s="753">
        <f t="shared" si="128"/>
        <v>0</v>
      </c>
      <c r="AF136" s="858">
        <v>0</v>
      </c>
      <c r="AG136" s="491">
        <v>0</v>
      </c>
      <c r="AH136" s="491">
        <v>0</v>
      </c>
      <c r="AI136" s="491">
        <v>0</v>
      </c>
      <c r="AJ136" s="491">
        <v>0</v>
      </c>
      <c r="AK136" s="491">
        <v>0</v>
      </c>
      <c r="AL136" s="609">
        <f>SUM(AF136:AK136)</f>
        <v>0</v>
      </c>
      <c r="AM136" s="676">
        <f>I136+AE136</f>
        <v>41045427</v>
      </c>
      <c r="AN136" s="492">
        <f>J136+V136</f>
        <v>30399501</v>
      </c>
      <c r="AO136" s="492">
        <f t="shared" ref="AO136:AO140" si="238">K136+Z136</f>
        <v>50000</v>
      </c>
      <c r="AP136" s="492">
        <f t="shared" ref="AP136:AR140" si="239">L136+AB136</f>
        <v>10291931</v>
      </c>
      <c r="AQ136" s="492">
        <f t="shared" si="239"/>
        <v>303995</v>
      </c>
      <c r="AR136" s="573">
        <f t="shared" si="239"/>
        <v>0</v>
      </c>
      <c r="AS136" s="609">
        <f>O136+AL136</f>
        <v>40.4998</v>
      </c>
    </row>
    <row r="137" spans="1:45" ht="14.1" customHeight="1" x14ac:dyDescent="0.2">
      <c r="A137" s="499">
        <v>38</v>
      </c>
      <c r="B137" s="511">
        <v>2307</v>
      </c>
      <c r="C137" s="512">
        <v>600079911</v>
      </c>
      <c r="D137" s="511">
        <v>72743212</v>
      </c>
      <c r="E137" s="510" t="s">
        <v>592</v>
      </c>
      <c r="F137" s="499">
        <v>3113</v>
      </c>
      <c r="G137" s="510" t="s">
        <v>799</v>
      </c>
      <c r="H137" s="495" t="s">
        <v>262</v>
      </c>
      <c r="I137" s="610">
        <v>276991</v>
      </c>
      <c r="J137" s="14">
        <v>205483</v>
      </c>
      <c r="K137" s="14">
        <v>0</v>
      </c>
      <c r="L137" s="14">
        <v>69453</v>
      </c>
      <c r="M137" s="14">
        <v>2055</v>
      </c>
      <c r="N137" s="14">
        <v>0</v>
      </c>
      <c r="O137" s="121">
        <v>0.4</v>
      </c>
      <c r="P137" s="676">
        <f t="shared" si="127"/>
        <v>0</v>
      </c>
      <c r="Q137" s="492">
        <v>0</v>
      </c>
      <c r="R137" s="492">
        <v>0</v>
      </c>
      <c r="S137" s="492">
        <v>0</v>
      </c>
      <c r="T137" s="492">
        <v>0</v>
      </c>
      <c r="U137" s="492">
        <v>0</v>
      </c>
      <c r="V137" s="492">
        <f>P137+Q137+R137+S137+T137+U137</f>
        <v>0</v>
      </c>
      <c r="W137" s="492">
        <v>0</v>
      </c>
      <c r="X137" s="492">
        <v>0</v>
      </c>
      <c r="Y137" s="492">
        <v>0</v>
      </c>
      <c r="Z137" s="492">
        <f t="shared" ref="Z137" si="240">W137+X137+Y137</f>
        <v>0</v>
      </c>
      <c r="AA137" s="492">
        <f t="shared" ref="AA137" si="241">V137+Z137</f>
        <v>0</v>
      </c>
      <c r="AB137" s="494">
        <f t="shared" ref="AB137" si="242">ROUND((V137+Z137)*33.8%,0)</f>
        <v>0</v>
      </c>
      <c r="AC137" s="494">
        <f>ROUND(V137*1%,0)</f>
        <v>0</v>
      </c>
      <c r="AD137" s="14">
        <v>0</v>
      </c>
      <c r="AE137" s="753">
        <f t="shared" si="128"/>
        <v>0</v>
      </c>
      <c r="AF137" s="858">
        <v>0</v>
      </c>
      <c r="AG137" s="491">
        <v>0</v>
      </c>
      <c r="AH137" s="491">
        <v>0</v>
      </c>
      <c r="AI137" s="491">
        <v>0</v>
      </c>
      <c r="AJ137" s="491">
        <v>0</v>
      </c>
      <c r="AK137" s="491">
        <v>0</v>
      </c>
      <c r="AL137" s="609">
        <f>SUM(AF137:AK137)</f>
        <v>0</v>
      </c>
      <c r="AM137" s="676">
        <f>I137+AE137</f>
        <v>276991</v>
      </c>
      <c r="AN137" s="492">
        <f>J137+V137</f>
        <v>205483</v>
      </c>
      <c r="AO137" s="492">
        <f t="shared" si="238"/>
        <v>0</v>
      </c>
      <c r="AP137" s="492">
        <f t="shared" si="239"/>
        <v>69453</v>
      </c>
      <c r="AQ137" s="492">
        <f t="shared" si="239"/>
        <v>2055</v>
      </c>
      <c r="AR137" s="573">
        <f t="shared" si="239"/>
        <v>0</v>
      </c>
      <c r="AS137" s="609">
        <f>O137+AL137</f>
        <v>0.4</v>
      </c>
    </row>
    <row r="138" spans="1:45" ht="14.1" customHeight="1" x14ac:dyDescent="0.2">
      <c r="A138" s="499">
        <v>38</v>
      </c>
      <c r="B138" s="511">
        <v>2307</v>
      </c>
      <c r="C138" s="512">
        <v>600079911</v>
      </c>
      <c r="D138" s="511">
        <v>72743212</v>
      </c>
      <c r="E138" s="510" t="s">
        <v>592</v>
      </c>
      <c r="F138" s="499">
        <v>3113</v>
      </c>
      <c r="G138" s="513" t="s">
        <v>278</v>
      </c>
      <c r="H138" s="495" t="s">
        <v>263</v>
      </c>
      <c r="I138" s="610">
        <v>2008325</v>
      </c>
      <c r="J138" s="490">
        <v>1489855</v>
      </c>
      <c r="K138" s="490">
        <v>0</v>
      </c>
      <c r="L138" s="14">
        <v>503571</v>
      </c>
      <c r="M138" s="14">
        <v>14899</v>
      </c>
      <c r="N138" s="14">
        <v>0</v>
      </c>
      <c r="O138" s="664">
        <v>3.9200000000000004</v>
      </c>
      <c r="P138" s="676">
        <f t="shared" si="127"/>
        <v>0</v>
      </c>
      <c r="Q138" s="492">
        <v>0</v>
      </c>
      <c r="R138" s="492">
        <v>0</v>
      </c>
      <c r="S138" s="492">
        <v>0</v>
      </c>
      <c r="T138" s="492">
        <v>0</v>
      </c>
      <c r="U138" s="492">
        <v>0</v>
      </c>
      <c r="V138" s="492">
        <f>P138+Q138+R138+S138+T138+U138</f>
        <v>0</v>
      </c>
      <c r="W138" s="492">
        <v>0</v>
      </c>
      <c r="X138" s="492">
        <v>0</v>
      </c>
      <c r="Y138" s="492">
        <v>0</v>
      </c>
      <c r="Z138" s="492">
        <f t="shared" si="235"/>
        <v>0</v>
      </c>
      <c r="AA138" s="492">
        <f t="shared" si="236"/>
        <v>0</v>
      </c>
      <c r="AB138" s="494">
        <f t="shared" si="237"/>
        <v>0</v>
      </c>
      <c r="AC138" s="494">
        <f>ROUND(V138*1%,0)</f>
        <v>0</v>
      </c>
      <c r="AD138" s="14">
        <v>0</v>
      </c>
      <c r="AE138" s="753">
        <f t="shared" si="128"/>
        <v>0</v>
      </c>
      <c r="AF138" s="858">
        <v>0</v>
      </c>
      <c r="AG138" s="491">
        <v>0</v>
      </c>
      <c r="AH138" s="491">
        <v>0</v>
      </c>
      <c r="AI138" s="491">
        <v>0</v>
      </c>
      <c r="AJ138" s="491">
        <v>0</v>
      </c>
      <c r="AK138" s="491">
        <v>0</v>
      </c>
      <c r="AL138" s="609">
        <f>SUM(AF138:AK138)</f>
        <v>0</v>
      </c>
      <c r="AM138" s="676">
        <f>I138+AE138</f>
        <v>2008325</v>
      </c>
      <c r="AN138" s="492">
        <f>J138+V138</f>
        <v>1489855</v>
      </c>
      <c r="AO138" s="492">
        <f t="shared" si="238"/>
        <v>0</v>
      </c>
      <c r="AP138" s="492">
        <f t="shared" si="239"/>
        <v>503571</v>
      </c>
      <c r="AQ138" s="492">
        <f t="shared" si="239"/>
        <v>14899</v>
      </c>
      <c r="AR138" s="573">
        <f t="shared" si="239"/>
        <v>0</v>
      </c>
      <c r="AS138" s="609">
        <f>O138+AL138</f>
        <v>3.9200000000000004</v>
      </c>
    </row>
    <row r="139" spans="1:45" ht="14.1" customHeight="1" x14ac:dyDescent="0.2">
      <c r="A139" s="499">
        <v>38</v>
      </c>
      <c r="B139" s="511">
        <v>2307</v>
      </c>
      <c r="C139" s="512">
        <v>600079911</v>
      </c>
      <c r="D139" s="511">
        <v>72743212</v>
      </c>
      <c r="E139" s="510" t="s">
        <v>592</v>
      </c>
      <c r="F139" s="499">
        <v>3143</v>
      </c>
      <c r="G139" s="513" t="s">
        <v>795</v>
      </c>
      <c r="H139" s="495" t="s">
        <v>262</v>
      </c>
      <c r="I139" s="610">
        <v>4092771</v>
      </c>
      <c r="J139" s="14">
        <v>3036180</v>
      </c>
      <c r="K139" s="14">
        <v>0</v>
      </c>
      <c r="L139" s="14">
        <v>1026229</v>
      </c>
      <c r="M139" s="14">
        <v>30362</v>
      </c>
      <c r="N139" s="14">
        <v>0</v>
      </c>
      <c r="O139" s="121">
        <v>5.4463999999999997</v>
      </c>
      <c r="P139" s="676">
        <f t="shared" si="127"/>
        <v>0</v>
      </c>
      <c r="Q139" s="492">
        <v>0</v>
      </c>
      <c r="R139" s="492">
        <v>0</v>
      </c>
      <c r="S139" s="492">
        <v>0</v>
      </c>
      <c r="T139" s="492">
        <v>0</v>
      </c>
      <c r="U139" s="492">
        <v>0</v>
      </c>
      <c r="V139" s="492">
        <f>P139+Q139+R139+S139+T139+U139</f>
        <v>0</v>
      </c>
      <c r="W139" s="492">
        <v>0</v>
      </c>
      <c r="X139" s="492">
        <v>0</v>
      </c>
      <c r="Y139" s="492">
        <v>0</v>
      </c>
      <c r="Z139" s="492">
        <f t="shared" si="235"/>
        <v>0</v>
      </c>
      <c r="AA139" s="492">
        <f t="shared" si="236"/>
        <v>0</v>
      </c>
      <c r="AB139" s="494">
        <f t="shared" si="237"/>
        <v>0</v>
      </c>
      <c r="AC139" s="494">
        <f>ROUND(V139*1%,0)</f>
        <v>0</v>
      </c>
      <c r="AD139" s="14">
        <v>0</v>
      </c>
      <c r="AE139" s="753">
        <f t="shared" si="128"/>
        <v>0</v>
      </c>
      <c r="AF139" s="858">
        <v>0</v>
      </c>
      <c r="AG139" s="491">
        <v>0</v>
      </c>
      <c r="AH139" s="491">
        <v>0</v>
      </c>
      <c r="AI139" s="491">
        <v>0</v>
      </c>
      <c r="AJ139" s="491">
        <v>0</v>
      </c>
      <c r="AK139" s="491">
        <v>0</v>
      </c>
      <c r="AL139" s="609">
        <f>SUM(AF139:AK139)</f>
        <v>0</v>
      </c>
      <c r="AM139" s="676">
        <f>I139+AE139</f>
        <v>4092771</v>
      </c>
      <c r="AN139" s="492">
        <f>J139+V139</f>
        <v>3036180</v>
      </c>
      <c r="AO139" s="492">
        <f t="shared" si="238"/>
        <v>0</v>
      </c>
      <c r="AP139" s="492">
        <f t="shared" si="239"/>
        <v>1026229</v>
      </c>
      <c r="AQ139" s="492">
        <f t="shared" si="239"/>
        <v>30362</v>
      </c>
      <c r="AR139" s="573">
        <f t="shared" si="239"/>
        <v>0</v>
      </c>
      <c r="AS139" s="609">
        <f>O139+AL139</f>
        <v>5.4463999999999997</v>
      </c>
    </row>
    <row r="140" spans="1:45" ht="14.1" customHeight="1" x14ac:dyDescent="0.2">
      <c r="A140" s="499">
        <v>38</v>
      </c>
      <c r="B140" s="511">
        <v>2307</v>
      </c>
      <c r="C140" s="512">
        <v>600079911</v>
      </c>
      <c r="D140" s="511">
        <v>72743212</v>
      </c>
      <c r="E140" s="510" t="s">
        <v>592</v>
      </c>
      <c r="F140" s="499">
        <v>3143</v>
      </c>
      <c r="G140" s="513" t="s">
        <v>282</v>
      </c>
      <c r="H140" s="495" t="s">
        <v>263</v>
      </c>
      <c r="I140" s="610">
        <v>402562</v>
      </c>
      <c r="J140" s="490">
        <v>298637</v>
      </c>
      <c r="K140" s="490">
        <v>0</v>
      </c>
      <c r="L140" s="14">
        <v>100939</v>
      </c>
      <c r="M140" s="14">
        <v>2986</v>
      </c>
      <c r="N140" s="14">
        <v>0</v>
      </c>
      <c r="O140" s="664">
        <v>0.55000000000000004</v>
      </c>
      <c r="P140" s="676">
        <f t="shared" si="127"/>
        <v>0</v>
      </c>
      <c r="Q140" s="492">
        <v>0</v>
      </c>
      <c r="R140" s="492">
        <v>0</v>
      </c>
      <c r="S140" s="492">
        <v>0</v>
      </c>
      <c r="T140" s="492">
        <v>0</v>
      </c>
      <c r="U140" s="492">
        <v>0</v>
      </c>
      <c r="V140" s="492">
        <f>P140+Q140+R140+S140+T140+U140</f>
        <v>0</v>
      </c>
      <c r="W140" s="492">
        <v>0</v>
      </c>
      <c r="X140" s="492">
        <v>0</v>
      </c>
      <c r="Y140" s="492">
        <v>0</v>
      </c>
      <c r="Z140" s="492">
        <f t="shared" si="235"/>
        <v>0</v>
      </c>
      <c r="AA140" s="492">
        <f t="shared" si="236"/>
        <v>0</v>
      </c>
      <c r="AB140" s="494">
        <f t="shared" si="237"/>
        <v>0</v>
      </c>
      <c r="AC140" s="494">
        <f>ROUND(V140*1%,0)</f>
        <v>0</v>
      </c>
      <c r="AD140" s="14">
        <v>0</v>
      </c>
      <c r="AE140" s="753">
        <f t="shared" si="128"/>
        <v>0</v>
      </c>
      <c r="AF140" s="858">
        <v>0</v>
      </c>
      <c r="AG140" s="491">
        <v>0</v>
      </c>
      <c r="AH140" s="491">
        <v>0</v>
      </c>
      <c r="AI140" s="491">
        <v>0</v>
      </c>
      <c r="AJ140" s="491">
        <v>0</v>
      </c>
      <c r="AK140" s="491">
        <v>0</v>
      </c>
      <c r="AL140" s="609">
        <f>SUM(AF140:AK140)</f>
        <v>0</v>
      </c>
      <c r="AM140" s="676">
        <f>I140+AE140</f>
        <v>402562</v>
      </c>
      <c r="AN140" s="492">
        <f>J140+V140</f>
        <v>298637</v>
      </c>
      <c r="AO140" s="492">
        <f t="shared" si="238"/>
        <v>0</v>
      </c>
      <c r="AP140" s="492">
        <f t="shared" si="239"/>
        <v>100939</v>
      </c>
      <c r="AQ140" s="492">
        <f t="shared" si="239"/>
        <v>2986</v>
      </c>
      <c r="AR140" s="573">
        <f t="shared" si="239"/>
        <v>0</v>
      </c>
      <c r="AS140" s="609">
        <f>O140+AL140</f>
        <v>0.55000000000000004</v>
      </c>
    </row>
    <row r="141" spans="1:45" ht="14.1" customHeight="1" x14ac:dyDescent="0.2">
      <c r="A141" s="509">
        <v>38</v>
      </c>
      <c r="B141" s="507">
        <v>2307</v>
      </c>
      <c r="C141" s="508">
        <v>600079911</v>
      </c>
      <c r="D141" s="507">
        <v>72743212</v>
      </c>
      <c r="E141" s="505" t="s">
        <v>593</v>
      </c>
      <c r="F141" s="509"/>
      <c r="G141" s="505"/>
      <c r="H141" s="504"/>
      <c r="I141" s="612">
        <v>47826076</v>
      </c>
      <c r="J141" s="503">
        <v>35429656</v>
      </c>
      <c r="K141" s="503">
        <v>50000</v>
      </c>
      <c r="L141" s="503">
        <v>11992123</v>
      </c>
      <c r="M141" s="503">
        <v>354297</v>
      </c>
      <c r="N141" s="503">
        <v>0</v>
      </c>
      <c r="O141" s="837">
        <v>50.816199999999995</v>
      </c>
      <c r="P141" s="612">
        <f t="shared" ref="P141:AS141" si="243">SUM(P136:P140)</f>
        <v>0</v>
      </c>
      <c r="Q141" s="502">
        <f t="shared" si="243"/>
        <v>0</v>
      </c>
      <c r="R141" s="502">
        <f t="shared" si="243"/>
        <v>0</v>
      </c>
      <c r="S141" s="502">
        <f t="shared" si="243"/>
        <v>0</v>
      </c>
      <c r="T141" s="502">
        <f t="shared" si="243"/>
        <v>0</v>
      </c>
      <c r="U141" s="502">
        <f t="shared" si="243"/>
        <v>0</v>
      </c>
      <c r="V141" s="502">
        <f t="shared" si="243"/>
        <v>0</v>
      </c>
      <c r="W141" s="502">
        <f t="shared" si="243"/>
        <v>0</v>
      </c>
      <c r="X141" s="502">
        <f t="shared" si="243"/>
        <v>0</v>
      </c>
      <c r="Y141" s="502">
        <f t="shared" si="243"/>
        <v>0</v>
      </c>
      <c r="Z141" s="502">
        <f t="shared" si="243"/>
        <v>0</v>
      </c>
      <c r="AA141" s="502">
        <f t="shared" si="243"/>
        <v>0</v>
      </c>
      <c r="AB141" s="502">
        <f t="shared" si="243"/>
        <v>0</v>
      </c>
      <c r="AC141" s="502">
        <f t="shared" si="243"/>
        <v>0</v>
      </c>
      <c r="AD141" s="502">
        <f t="shared" si="243"/>
        <v>0</v>
      </c>
      <c r="AE141" s="852">
        <f t="shared" si="243"/>
        <v>0</v>
      </c>
      <c r="AF141" s="857">
        <f t="shared" si="243"/>
        <v>0</v>
      </c>
      <c r="AG141" s="848">
        <f t="shared" si="243"/>
        <v>0</v>
      </c>
      <c r="AH141" s="848">
        <f t="shared" si="243"/>
        <v>0</v>
      </c>
      <c r="AI141" s="848">
        <f t="shared" si="243"/>
        <v>0</v>
      </c>
      <c r="AJ141" s="848">
        <f t="shared" si="243"/>
        <v>0</v>
      </c>
      <c r="AK141" s="848">
        <f t="shared" si="243"/>
        <v>0</v>
      </c>
      <c r="AL141" s="613">
        <f t="shared" si="243"/>
        <v>0</v>
      </c>
      <c r="AM141" s="612">
        <f t="shared" si="243"/>
        <v>47826076</v>
      </c>
      <c r="AN141" s="502">
        <f t="shared" si="243"/>
        <v>35429656</v>
      </c>
      <c r="AO141" s="549">
        <f t="shared" si="243"/>
        <v>50000</v>
      </c>
      <c r="AP141" s="502">
        <f t="shared" si="243"/>
        <v>11992123</v>
      </c>
      <c r="AQ141" s="502">
        <f t="shared" si="243"/>
        <v>354297</v>
      </c>
      <c r="AR141" s="502">
        <f t="shared" si="243"/>
        <v>0</v>
      </c>
      <c r="AS141" s="613">
        <f t="shared" si="243"/>
        <v>50.816199999999995</v>
      </c>
    </row>
    <row r="142" spans="1:45" ht="14.1" customHeight="1" x14ac:dyDescent="0.2">
      <c r="A142" s="499">
        <v>39</v>
      </c>
      <c r="B142" s="511">
        <v>2478</v>
      </c>
      <c r="C142" s="512">
        <v>600079929</v>
      </c>
      <c r="D142" s="511">
        <v>72743379</v>
      </c>
      <c r="E142" s="510" t="s">
        <v>594</v>
      </c>
      <c r="F142" s="499">
        <v>3113</v>
      </c>
      <c r="G142" s="510" t="s">
        <v>280</v>
      </c>
      <c r="H142" s="495" t="s">
        <v>262</v>
      </c>
      <c r="I142" s="610">
        <v>39496679</v>
      </c>
      <c r="J142" s="14">
        <v>28919876</v>
      </c>
      <c r="K142" s="14">
        <v>383174</v>
      </c>
      <c r="L142" s="14">
        <v>9904430</v>
      </c>
      <c r="M142" s="14">
        <v>289199</v>
      </c>
      <c r="N142" s="14">
        <v>0</v>
      </c>
      <c r="O142" s="121">
        <v>39.377000000000002</v>
      </c>
      <c r="P142" s="676">
        <f t="shared" ref="P142:P205" si="244">W142*-1</f>
        <v>0</v>
      </c>
      <c r="Q142" s="492">
        <v>0</v>
      </c>
      <c r="R142" s="492">
        <v>0</v>
      </c>
      <c r="S142" s="492">
        <v>0</v>
      </c>
      <c r="T142" s="492">
        <v>0</v>
      </c>
      <c r="U142" s="492">
        <v>0</v>
      </c>
      <c r="V142" s="492">
        <f>P142+Q142+R142+S142+T142+U142</f>
        <v>0</v>
      </c>
      <c r="W142" s="492">
        <v>0</v>
      </c>
      <c r="X142" s="492">
        <v>0</v>
      </c>
      <c r="Y142" s="492">
        <v>0</v>
      </c>
      <c r="Z142" s="492">
        <f>W142+X142+Y142</f>
        <v>0</v>
      </c>
      <c r="AA142" s="492">
        <f t="shared" ref="AA142:AA145" si="245">V142+Z142</f>
        <v>0</v>
      </c>
      <c r="AB142" s="494">
        <f t="shared" ref="AB142:AB145" si="246">ROUND((V142+Z142)*33.8%,0)</f>
        <v>0</v>
      </c>
      <c r="AC142" s="494">
        <f>ROUND(V142*1%,0)</f>
        <v>0</v>
      </c>
      <c r="AD142" s="14">
        <v>0</v>
      </c>
      <c r="AE142" s="753">
        <f t="shared" ref="AE142:AE205" si="247">AA142+AB142+AC142+AD142</f>
        <v>0</v>
      </c>
      <c r="AF142" s="858">
        <v>0</v>
      </c>
      <c r="AG142" s="491">
        <v>0</v>
      </c>
      <c r="AH142" s="491">
        <v>0</v>
      </c>
      <c r="AI142" s="491">
        <v>0</v>
      </c>
      <c r="AJ142" s="491">
        <v>0</v>
      </c>
      <c r="AK142" s="491">
        <v>0</v>
      </c>
      <c r="AL142" s="609">
        <f>SUM(AF142:AK142)</f>
        <v>0</v>
      </c>
      <c r="AM142" s="676">
        <f>I142+AE142</f>
        <v>39496679</v>
      </c>
      <c r="AN142" s="492">
        <f>J142+V142</f>
        <v>28919876</v>
      </c>
      <c r="AO142" s="492">
        <f t="shared" ref="AO142:AO145" si="248">K142+Z142</f>
        <v>383174</v>
      </c>
      <c r="AP142" s="492">
        <f t="shared" ref="AP142:AR145" si="249">L142+AB142</f>
        <v>9904430</v>
      </c>
      <c r="AQ142" s="492">
        <f t="shared" si="249"/>
        <v>289199</v>
      </c>
      <c r="AR142" s="573">
        <f t="shared" si="249"/>
        <v>0</v>
      </c>
      <c r="AS142" s="609">
        <f>O142+AL142</f>
        <v>39.377000000000002</v>
      </c>
    </row>
    <row r="143" spans="1:45" ht="14.1" customHeight="1" x14ac:dyDescent="0.2">
      <c r="A143" s="499">
        <v>39</v>
      </c>
      <c r="B143" s="511">
        <v>2478</v>
      </c>
      <c r="C143" s="512">
        <v>600079929</v>
      </c>
      <c r="D143" s="511">
        <v>72743379</v>
      </c>
      <c r="E143" s="510" t="s">
        <v>594</v>
      </c>
      <c r="F143" s="499">
        <v>3113</v>
      </c>
      <c r="G143" s="510" t="s">
        <v>799</v>
      </c>
      <c r="H143" s="495" t="s">
        <v>262</v>
      </c>
      <c r="I143" s="610">
        <v>732142</v>
      </c>
      <c r="J143" s="14">
        <v>543132</v>
      </c>
      <c r="K143" s="14">
        <v>0</v>
      </c>
      <c r="L143" s="14">
        <v>183579</v>
      </c>
      <c r="M143" s="14">
        <v>5431</v>
      </c>
      <c r="N143" s="14">
        <v>0</v>
      </c>
      <c r="O143" s="121">
        <v>1</v>
      </c>
      <c r="P143" s="676">
        <f t="shared" si="244"/>
        <v>0</v>
      </c>
      <c r="Q143" s="492">
        <v>0</v>
      </c>
      <c r="R143" s="492">
        <v>0</v>
      </c>
      <c r="S143" s="492">
        <v>0</v>
      </c>
      <c r="T143" s="492">
        <v>0</v>
      </c>
      <c r="U143" s="492">
        <v>0</v>
      </c>
      <c r="V143" s="492">
        <f>P143+Q143+R143+S143+T143+U143</f>
        <v>0</v>
      </c>
      <c r="W143" s="492">
        <v>0</v>
      </c>
      <c r="X143" s="492">
        <v>0</v>
      </c>
      <c r="Y143" s="492">
        <v>0</v>
      </c>
      <c r="Z143" s="492">
        <f>W143+X143+Y143</f>
        <v>0</v>
      </c>
      <c r="AA143" s="492">
        <f t="shared" ref="AA143" si="250">V143+Z143</f>
        <v>0</v>
      </c>
      <c r="AB143" s="494">
        <f t="shared" ref="AB143" si="251">ROUND((V143+Z143)*33.8%,0)</f>
        <v>0</v>
      </c>
      <c r="AC143" s="494">
        <f>ROUND(V143*1%,0)</f>
        <v>0</v>
      </c>
      <c r="AD143" s="14">
        <v>0</v>
      </c>
      <c r="AE143" s="753">
        <f t="shared" si="247"/>
        <v>0</v>
      </c>
      <c r="AF143" s="858">
        <v>0</v>
      </c>
      <c r="AG143" s="491">
        <v>0</v>
      </c>
      <c r="AH143" s="491">
        <v>0</v>
      </c>
      <c r="AI143" s="491">
        <v>0</v>
      </c>
      <c r="AJ143" s="491">
        <v>0</v>
      </c>
      <c r="AK143" s="491">
        <v>0</v>
      </c>
      <c r="AL143" s="609">
        <f>SUM(AF143:AK143)</f>
        <v>0</v>
      </c>
      <c r="AM143" s="676">
        <f>I143+AE143</f>
        <v>732142</v>
      </c>
      <c r="AN143" s="492">
        <f>J143+V143</f>
        <v>543132</v>
      </c>
      <c r="AO143" s="492">
        <f t="shared" si="248"/>
        <v>0</v>
      </c>
      <c r="AP143" s="492">
        <f t="shared" si="249"/>
        <v>183579</v>
      </c>
      <c r="AQ143" s="492">
        <f t="shared" si="249"/>
        <v>5431</v>
      </c>
      <c r="AR143" s="573">
        <f t="shared" si="249"/>
        <v>0</v>
      </c>
      <c r="AS143" s="609">
        <f>O143+AL143</f>
        <v>1</v>
      </c>
    </row>
    <row r="144" spans="1:45" ht="14.1" customHeight="1" x14ac:dyDescent="0.2">
      <c r="A144" s="499">
        <v>39</v>
      </c>
      <c r="B144" s="511">
        <v>2478</v>
      </c>
      <c r="C144" s="512">
        <v>600079929</v>
      </c>
      <c r="D144" s="511">
        <v>72743379</v>
      </c>
      <c r="E144" s="510" t="s">
        <v>594</v>
      </c>
      <c r="F144" s="499">
        <v>3113</v>
      </c>
      <c r="G144" s="513" t="s">
        <v>278</v>
      </c>
      <c r="H144" s="495" t="s">
        <v>263</v>
      </c>
      <c r="I144" s="610">
        <v>6392416</v>
      </c>
      <c r="J144" s="490">
        <v>4742149</v>
      </c>
      <c r="K144" s="490">
        <v>0</v>
      </c>
      <c r="L144" s="14">
        <v>1602846</v>
      </c>
      <c r="M144" s="14">
        <v>47421</v>
      </c>
      <c r="N144" s="14">
        <v>0</v>
      </c>
      <c r="O144" s="664">
        <v>11.950000000000001</v>
      </c>
      <c r="P144" s="676">
        <f t="shared" si="244"/>
        <v>0</v>
      </c>
      <c r="Q144" s="492">
        <v>0</v>
      </c>
      <c r="R144" s="492">
        <v>0</v>
      </c>
      <c r="S144" s="492">
        <v>0</v>
      </c>
      <c r="T144" s="492">
        <v>0</v>
      </c>
      <c r="U144" s="492">
        <v>0</v>
      </c>
      <c r="V144" s="492">
        <f>P144+Q144+R144+S144+T144+U144</f>
        <v>0</v>
      </c>
      <c r="W144" s="492">
        <v>0</v>
      </c>
      <c r="X144" s="492">
        <v>0</v>
      </c>
      <c r="Y144" s="492">
        <v>0</v>
      </c>
      <c r="Z144" s="492">
        <f t="shared" ref="Z144:Z145" si="252">W144+X144+Y144</f>
        <v>0</v>
      </c>
      <c r="AA144" s="492">
        <f t="shared" si="245"/>
        <v>0</v>
      </c>
      <c r="AB144" s="494">
        <f t="shared" si="246"/>
        <v>0</v>
      </c>
      <c r="AC144" s="494">
        <f>ROUND(V144*1%,0)</f>
        <v>0</v>
      </c>
      <c r="AD144" s="14">
        <v>0</v>
      </c>
      <c r="AE144" s="753">
        <f t="shared" si="247"/>
        <v>0</v>
      </c>
      <c r="AF144" s="858">
        <v>0</v>
      </c>
      <c r="AG144" s="491">
        <v>0</v>
      </c>
      <c r="AH144" s="491">
        <v>0</v>
      </c>
      <c r="AI144" s="491">
        <v>0</v>
      </c>
      <c r="AJ144" s="491">
        <v>0</v>
      </c>
      <c r="AK144" s="491">
        <v>0</v>
      </c>
      <c r="AL144" s="609">
        <f>SUM(AF144:AK144)</f>
        <v>0</v>
      </c>
      <c r="AM144" s="676">
        <f>I144+AE144</f>
        <v>6392416</v>
      </c>
      <c r="AN144" s="492">
        <f>J144+V144</f>
        <v>4742149</v>
      </c>
      <c r="AO144" s="492">
        <f t="shared" si="248"/>
        <v>0</v>
      </c>
      <c r="AP144" s="492">
        <f t="shared" si="249"/>
        <v>1602846</v>
      </c>
      <c r="AQ144" s="492">
        <f t="shared" si="249"/>
        <v>47421</v>
      </c>
      <c r="AR144" s="573">
        <f t="shared" si="249"/>
        <v>0</v>
      </c>
      <c r="AS144" s="609">
        <f>O144+AL144</f>
        <v>11.950000000000001</v>
      </c>
    </row>
    <row r="145" spans="1:45" ht="14.1" customHeight="1" x14ac:dyDescent="0.2">
      <c r="A145" s="499">
        <v>39</v>
      </c>
      <c r="B145" s="511">
        <v>2478</v>
      </c>
      <c r="C145" s="512">
        <v>600079929</v>
      </c>
      <c r="D145" s="511">
        <v>72743379</v>
      </c>
      <c r="E145" s="510" t="s">
        <v>594</v>
      </c>
      <c r="F145" s="499">
        <v>3143</v>
      </c>
      <c r="G145" s="513" t="s">
        <v>795</v>
      </c>
      <c r="H145" s="495" t="s">
        <v>262</v>
      </c>
      <c r="I145" s="610">
        <v>6723749</v>
      </c>
      <c r="J145" s="14">
        <v>4982981</v>
      </c>
      <c r="K145" s="14">
        <v>5000</v>
      </c>
      <c r="L145" s="14">
        <v>1685938</v>
      </c>
      <c r="M145" s="14">
        <v>49830</v>
      </c>
      <c r="N145" s="14">
        <v>0</v>
      </c>
      <c r="O145" s="121">
        <v>9.8439999999999994</v>
      </c>
      <c r="P145" s="676">
        <f t="shared" si="244"/>
        <v>0</v>
      </c>
      <c r="Q145" s="492">
        <v>0</v>
      </c>
      <c r="R145" s="492">
        <v>0</v>
      </c>
      <c r="S145" s="492">
        <v>0</v>
      </c>
      <c r="T145" s="492">
        <v>0</v>
      </c>
      <c r="U145" s="492">
        <v>0</v>
      </c>
      <c r="V145" s="492">
        <f>P145+Q145+R145+S145+T145+U145</f>
        <v>0</v>
      </c>
      <c r="W145" s="492"/>
      <c r="X145" s="492">
        <v>0</v>
      </c>
      <c r="Y145" s="492">
        <v>0</v>
      </c>
      <c r="Z145" s="492">
        <f t="shared" si="252"/>
        <v>0</v>
      </c>
      <c r="AA145" s="492">
        <f t="shared" si="245"/>
        <v>0</v>
      </c>
      <c r="AB145" s="494">
        <f t="shared" si="246"/>
        <v>0</v>
      </c>
      <c r="AC145" s="494">
        <f>ROUND(V145*1%,0)</f>
        <v>0</v>
      </c>
      <c r="AD145" s="14">
        <v>0</v>
      </c>
      <c r="AE145" s="753">
        <f t="shared" si="247"/>
        <v>0</v>
      </c>
      <c r="AF145" s="858">
        <v>0</v>
      </c>
      <c r="AG145" s="491">
        <v>0</v>
      </c>
      <c r="AH145" s="491">
        <v>0</v>
      </c>
      <c r="AI145" s="491">
        <v>0</v>
      </c>
      <c r="AJ145" s="491">
        <v>0</v>
      </c>
      <c r="AK145" s="491">
        <v>0</v>
      </c>
      <c r="AL145" s="609">
        <f>SUM(AF145:AK145)</f>
        <v>0</v>
      </c>
      <c r="AM145" s="676">
        <f>I145+AE145</f>
        <v>6723749</v>
      </c>
      <c r="AN145" s="492">
        <f>J145+V145</f>
        <v>4982981</v>
      </c>
      <c r="AO145" s="492">
        <f t="shared" si="248"/>
        <v>5000</v>
      </c>
      <c r="AP145" s="492">
        <f t="shared" si="249"/>
        <v>1685938</v>
      </c>
      <c r="AQ145" s="492">
        <f t="shared" si="249"/>
        <v>49830</v>
      </c>
      <c r="AR145" s="573">
        <f t="shared" si="249"/>
        <v>0</v>
      </c>
      <c r="AS145" s="609">
        <f>O145+AL145</f>
        <v>9.8439999999999994</v>
      </c>
    </row>
    <row r="146" spans="1:45" ht="14.1" customHeight="1" x14ac:dyDescent="0.2">
      <c r="A146" s="509">
        <v>39</v>
      </c>
      <c r="B146" s="507">
        <v>2478</v>
      </c>
      <c r="C146" s="508">
        <v>600079929</v>
      </c>
      <c r="D146" s="507">
        <v>72743379</v>
      </c>
      <c r="E146" s="505" t="s">
        <v>595</v>
      </c>
      <c r="F146" s="509"/>
      <c r="G146" s="505"/>
      <c r="H146" s="504"/>
      <c r="I146" s="612">
        <v>53344986</v>
      </c>
      <c r="J146" s="503">
        <v>39188138</v>
      </c>
      <c r="K146" s="503">
        <v>388174</v>
      </c>
      <c r="L146" s="503">
        <v>13376793</v>
      </c>
      <c r="M146" s="503">
        <v>391881</v>
      </c>
      <c r="N146" s="503">
        <v>0</v>
      </c>
      <c r="O146" s="837">
        <v>62.171000000000006</v>
      </c>
      <c r="P146" s="612">
        <f t="shared" ref="P146:AS146" si="253">SUM(P142:P145)</f>
        <v>0</v>
      </c>
      <c r="Q146" s="502">
        <f t="shared" si="253"/>
        <v>0</v>
      </c>
      <c r="R146" s="502">
        <f t="shared" si="253"/>
        <v>0</v>
      </c>
      <c r="S146" s="502">
        <f t="shared" si="253"/>
        <v>0</v>
      </c>
      <c r="T146" s="502">
        <f t="shared" si="253"/>
        <v>0</v>
      </c>
      <c r="U146" s="502">
        <f t="shared" si="253"/>
        <v>0</v>
      </c>
      <c r="V146" s="502">
        <f t="shared" si="253"/>
        <v>0</v>
      </c>
      <c r="W146" s="502">
        <f t="shared" si="253"/>
        <v>0</v>
      </c>
      <c r="X146" s="502">
        <f>SUM(X142:X145)</f>
        <v>0</v>
      </c>
      <c r="Y146" s="502">
        <f t="shared" si="253"/>
        <v>0</v>
      </c>
      <c r="Z146" s="502">
        <f t="shared" si="253"/>
        <v>0</v>
      </c>
      <c r="AA146" s="502">
        <f t="shared" si="253"/>
        <v>0</v>
      </c>
      <c r="AB146" s="502">
        <f t="shared" si="253"/>
        <v>0</v>
      </c>
      <c r="AC146" s="502">
        <f t="shared" si="253"/>
        <v>0</v>
      </c>
      <c r="AD146" s="502">
        <f t="shared" si="253"/>
        <v>0</v>
      </c>
      <c r="AE146" s="852">
        <f t="shared" si="253"/>
        <v>0</v>
      </c>
      <c r="AF146" s="857">
        <f t="shared" si="253"/>
        <v>0</v>
      </c>
      <c r="AG146" s="848">
        <f t="shared" si="253"/>
        <v>0</v>
      </c>
      <c r="AH146" s="848">
        <f t="shared" si="253"/>
        <v>0</v>
      </c>
      <c r="AI146" s="848">
        <f t="shared" si="253"/>
        <v>0</v>
      </c>
      <c r="AJ146" s="848">
        <f t="shared" si="253"/>
        <v>0</v>
      </c>
      <c r="AK146" s="848">
        <f t="shared" si="253"/>
        <v>0</v>
      </c>
      <c r="AL146" s="613">
        <f t="shared" si="253"/>
        <v>0</v>
      </c>
      <c r="AM146" s="612">
        <f t="shared" si="253"/>
        <v>53344986</v>
      </c>
      <c r="AN146" s="502">
        <f t="shared" si="253"/>
        <v>39188138</v>
      </c>
      <c r="AO146" s="549">
        <f t="shared" si="253"/>
        <v>388174</v>
      </c>
      <c r="AP146" s="502">
        <f t="shared" si="253"/>
        <v>13376793</v>
      </c>
      <c r="AQ146" s="502">
        <f t="shared" si="253"/>
        <v>391881</v>
      </c>
      <c r="AR146" s="502">
        <f t="shared" si="253"/>
        <v>0</v>
      </c>
      <c r="AS146" s="613">
        <f t="shared" si="253"/>
        <v>62.171000000000006</v>
      </c>
    </row>
    <row r="147" spans="1:45" ht="14.1" customHeight="1" x14ac:dyDescent="0.2">
      <c r="A147" s="499">
        <v>40</v>
      </c>
      <c r="B147" s="511">
        <v>2465</v>
      </c>
      <c r="C147" s="512">
        <v>650018273</v>
      </c>
      <c r="D147" s="511">
        <v>72741791</v>
      </c>
      <c r="E147" s="510" t="s">
        <v>596</v>
      </c>
      <c r="F147" s="499">
        <v>3111</v>
      </c>
      <c r="G147" s="510" t="s">
        <v>277</v>
      </c>
      <c r="H147" s="495" t="s">
        <v>262</v>
      </c>
      <c r="I147" s="610">
        <v>6470223</v>
      </c>
      <c r="J147" s="14">
        <v>4780017</v>
      </c>
      <c r="K147" s="14">
        <v>20000</v>
      </c>
      <c r="L147" s="14">
        <v>1622406</v>
      </c>
      <c r="M147" s="14">
        <v>47800</v>
      </c>
      <c r="N147" s="14">
        <v>0</v>
      </c>
      <c r="O147" s="121">
        <v>7.9355000000000002</v>
      </c>
      <c r="P147" s="676">
        <f t="shared" si="244"/>
        <v>0</v>
      </c>
      <c r="Q147" s="492">
        <v>0</v>
      </c>
      <c r="R147" s="492">
        <v>0</v>
      </c>
      <c r="S147" s="492">
        <v>0</v>
      </c>
      <c r="T147" s="492">
        <v>0</v>
      </c>
      <c r="U147" s="492">
        <v>0</v>
      </c>
      <c r="V147" s="492">
        <f>P147+Q147+R147+S147+T147+U147</f>
        <v>0</v>
      </c>
      <c r="W147" s="492">
        <v>0</v>
      </c>
      <c r="X147" s="492">
        <v>0</v>
      </c>
      <c r="Y147" s="492">
        <v>0</v>
      </c>
      <c r="Z147" s="492">
        <f t="shared" ref="Z147:Z151" si="254">W147+X147+Y147</f>
        <v>0</v>
      </c>
      <c r="AA147" s="492">
        <f t="shared" ref="AA147:AA151" si="255">V147+Z147</f>
        <v>0</v>
      </c>
      <c r="AB147" s="494">
        <f t="shared" ref="AB147:AB151" si="256">ROUND((V147+Z147)*33.8%,0)</f>
        <v>0</v>
      </c>
      <c r="AC147" s="494">
        <f t="shared" ref="AC147:AC151" si="257">ROUND(V147*1%,0)</f>
        <v>0</v>
      </c>
      <c r="AD147" s="14">
        <v>0</v>
      </c>
      <c r="AE147" s="753">
        <f t="shared" si="247"/>
        <v>0</v>
      </c>
      <c r="AF147" s="858">
        <v>0</v>
      </c>
      <c r="AG147" s="491">
        <v>0</v>
      </c>
      <c r="AH147" s="491">
        <v>0</v>
      </c>
      <c r="AI147" s="491">
        <v>0</v>
      </c>
      <c r="AJ147" s="491">
        <v>0</v>
      </c>
      <c r="AK147" s="491">
        <v>0</v>
      </c>
      <c r="AL147" s="609">
        <f>SUM(AF147:AK147)</f>
        <v>0</v>
      </c>
      <c r="AM147" s="676">
        <f>I147+AE147</f>
        <v>6470223</v>
      </c>
      <c r="AN147" s="492">
        <f>J147+V147</f>
        <v>4780017</v>
      </c>
      <c r="AO147" s="492">
        <f t="shared" ref="AO147:AO151" si="258">K147+Z147</f>
        <v>20000</v>
      </c>
      <c r="AP147" s="492">
        <f t="shared" ref="AP147:AR151" si="259">L147+AB147</f>
        <v>1622406</v>
      </c>
      <c r="AQ147" s="492">
        <f t="shared" si="259"/>
        <v>47800</v>
      </c>
      <c r="AR147" s="573">
        <f t="shared" si="259"/>
        <v>0</v>
      </c>
      <c r="AS147" s="609">
        <f>O147+AL147</f>
        <v>7.9355000000000002</v>
      </c>
    </row>
    <row r="148" spans="1:45" ht="14.1" customHeight="1" x14ac:dyDescent="0.2">
      <c r="A148" s="499">
        <v>40</v>
      </c>
      <c r="B148" s="511">
        <v>2465</v>
      </c>
      <c r="C148" s="512">
        <v>650018273</v>
      </c>
      <c r="D148" s="511">
        <v>72741791</v>
      </c>
      <c r="E148" s="510" t="s">
        <v>596</v>
      </c>
      <c r="F148" s="499">
        <v>3113</v>
      </c>
      <c r="G148" s="510" t="s">
        <v>280</v>
      </c>
      <c r="H148" s="495" t="s">
        <v>262</v>
      </c>
      <c r="I148" s="610">
        <v>19639965</v>
      </c>
      <c r="J148" s="14">
        <v>14530004</v>
      </c>
      <c r="K148" s="14">
        <v>40000</v>
      </c>
      <c r="L148" s="14">
        <v>4924661</v>
      </c>
      <c r="M148" s="14">
        <v>145300</v>
      </c>
      <c r="N148" s="14">
        <v>0</v>
      </c>
      <c r="O148" s="121">
        <v>20.4543</v>
      </c>
      <c r="P148" s="676">
        <f t="shared" si="244"/>
        <v>0</v>
      </c>
      <c r="Q148" s="492">
        <v>0</v>
      </c>
      <c r="R148" s="492">
        <v>0</v>
      </c>
      <c r="S148" s="492">
        <v>0</v>
      </c>
      <c r="T148" s="492">
        <v>0</v>
      </c>
      <c r="U148" s="492">
        <v>0</v>
      </c>
      <c r="V148" s="492">
        <f>P148+Q148+R148+S148+T148+U148</f>
        <v>0</v>
      </c>
      <c r="W148" s="492">
        <v>0</v>
      </c>
      <c r="X148" s="492">
        <v>0</v>
      </c>
      <c r="Y148" s="492">
        <v>0</v>
      </c>
      <c r="Z148" s="492">
        <f t="shared" si="254"/>
        <v>0</v>
      </c>
      <c r="AA148" s="492">
        <f t="shared" si="255"/>
        <v>0</v>
      </c>
      <c r="AB148" s="494">
        <f t="shared" si="256"/>
        <v>0</v>
      </c>
      <c r="AC148" s="494">
        <f t="shared" si="257"/>
        <v>0</v>
      </c>
      <c r="AD148" s="14">
        <v>0</v>
      </c>
      <c r="AE148" s="753">
        <f t="shared" si="247"/>
        <v>0</v>
      </c>
      <c r="AF148" s="858">
        <v>0</v>
      </c>
      <c r="AG148" s="491">
        <v>0</v>
      </c>
      <c r="AH148" s="491">
        <v>0</v>
      </c>
      <c r="AI148" s="491">
        <v>0</v>
      </c>
      <c r="AJ148" s="491">
        <v>0</v>
      </c>
      <c r="AK148" s="491">
        <v>0</v>
      </c>
      <c r="AL148" s="609">
        <f>SUM(AF148:AK148)</f>
        <v>0</v>
      </c>
      <c r="AM148" s="676">
        <f>I148+AE148</f>
        <v>19639965</v>
      </c>
      <c r="AN148" s="492">
        <f>J148+V148</f>
        <v>14530004</v>
      </c>
      <c r="AO148" s="492">
        <f t="shared" si="258"/>
        <v>40000</v>
      </c>
      <c r="AP148" s="492">
        <f t="shared" si="259"/>
        <v>4924661</v>
      </c>
      <c r="AQ148" s="492">
        <f t="shared" si="259"/>
        <v>145300</v>
      </c>
      <c r="AR148" s="573">
        <f t="shared" si="259"/>
        <v>0</v>
      </c>
      <c r="AS148" s="609">
        <f>O148+AL148</f>
        <v>20.4543</v>
      </c>
    </row>
    <row r="149" spans="1:45" ht="14.1" customHeight="1" x14ac:dyDescent="0.2">
      <c r="A149" s="499">
        <v>40</v>
      </c>
      <c r="B149" s="511">
        <v>2465</v>
      </c>
      <c r="C149" s="512">
        <v>650018273</v>
      </c>
      <c r="D149" s="511">
        <v>72741791</v>
      </c>
      <c r="E149" s="510" t="s">
        <v>596</v>
      </c>
      <c r="F149" s="499">
        <v>3113</v>
      </c>
      <c r="G149" s="510" t="s">
        <v>799</v>
      </c>
      <c r="H149" s="495" t="s">
        <v>262</v>
      </c>
      <c r="I149" s="610">
        <v>371263</v>
      </c>
      <c r="J149" s="490">
        <v>275418</v>
      </c>
      <c r="K149" s="490">
        <v>0</v>
      </c>
      <c r="L149" s="14">
        <v>93091</v>
      </c>
      <c r="M149" s="14">
        <v>2754</v>
      </c>
      <c r="N149" s="14">
        <v>0</v>
      </c>
      <c r="O149" s="664">
        <v>0.5</v>
      </c>
      <c r="P149" s="676">
        <f t="shared" si="244"/>
        <v>0</v>
      </c>
      <c r="Q149" s="492">
        <v>0</v>
      </c>
      <c r="R149" s="492">
        <v>0</v>
      </c>
      <c r="S149" s="492">
        <v>0</v>
      </c>
      <c r="T149" s="492">
        <v>0</v>
      </c>
      <c r="U149" s="492">
        <v>0</v>
      </c>
      <c r="V149" s="492">
        <f>P149+Q149+R149+S149+T149+U149</f>
        <v>0</v>
      </c>
      <c r="W149" s="492">
        <v>0</v>
      </c>
      <c r="X149" s="492">
        <v>0</v>
      </c>
      <c r="Y149" s="492">
        <v>0</v>
      </c>
      <c r="Z149" s="492">
        <f t="shared" ref="Z149" si="260">W149+X149+Y149</f>
        <v>0</v>
      </c>
      <c r="AA149" s="492">
        <f t="shared" ref="AA149" si="261">V149+Z149</f>
        <v>0</v>
      </c>
      <c r="AB149" s="494">
        <f t="shared" ref="AB149" si="262">ROUND((V149+Z149)*33.8%,0)</f>
        <v>0</v>
      </c>
      <c r="AC149" s="494">
        <f t="shared" ref="AC149" si="263">ROUND(V149*1%,0)</f>
        <v>0</v>
      </c>
      <c r="AD149" s="14">
        <v>0</v>
      </c>
      <c r="AE149" s="753">
        <f t="shared" si="247"/>
        <v>0</v>
      </c>
      <c r="AF149" s="858">
        <v>0</v>
      </c>
      <c r="AG149" s="491">
        <v>0</v>
      </c>
      <c r="AH149" s="491">
        <v>0</v>
      </c>
      <c r="AI149" s="491">
        <v>0</v>
      </c>
      <c r="AJ149" s="491">
        <v>0</v>
      </c>
      <c r="AK149" s="491">
        <v>0</v>
      </c>
      <c r="AL149" s="609">
        <f>SUM(AF149:AK149)</f>
        <v>0</v>
      </c>
      <c r="AM149" s="676">
        <f>I149+AE149</f>
        <v>371263</v>
      </c>
      <c r="AN149" s="492">
        <f>J149+V149</f>
        <v>275418</v>
      </c>
      <c r="AO149" s="492">
        <f t="shared" si="258"/>
        <v>0</v>
      </c>
      <c r="AP149" s="492">
        <f t="shared" si="259"/>
        <v>93091</v>
      </c>
      <c r="AQ149" s="492">
        <f t="shared" si="259"/>
        <v>2754</v>
      </c>
      <c r="AR149" s="573">
        <f t="shared" si="259"/>
        <v>0</v>
      </c>
      <c r="AS149" s="609">
        <f>O149+AL149</f>
        <v>0.5</v>
      </c>
    </row>
    <row r="150" spans="1:45" ht="14.1" customHeight="1" x14ac:dyDescent="0.2">
      <c r="A150" s="499">
        <v>40</v>
      </c>
      <c r="B150" s="511">
        <v>2465</v>
      </c>
      <c r="C150" s="512">
        <v>650018273</v>
      </c>
      <c r="D150" s="511">
        <v>72741791</v>
      </c>
      <c r="E150" s="510" t="s">
        <v>596</v>
      </c>
      <c r="F150" s="499">
        <v>3113</v>
      </c>
      <c r="G150" s="513" t="s">
        <v>278</v>
      </c>
      <c r="H150" s="495" t="s">
        <v>263</v>
      </c>
      <c r="I150" s="610">
        <v>5698814</v>
      </c>
      <c r="J150" s="490">
        <v>4207755</v>
      </c>
      <c r="K150" s="490">
        <v>20000</v>
      </c>
      <c r="L150" s="14">
        <v>1428981</v>
      </c>
      <c r="M150" s="14">
        <v>42078</v>
      </c>
      <c r="N150" s="14">
        <v>0</v>
      </c>
      <c r="O150" s="664">
        <v>10.459999999999999</v>
      </c>
      <c r="P150" s="676">
        <f t="shared" si="244"/>
        <v>0</v>
      </c>
      <c r="Q150" s="492">
        <f>44151+39735</f>
        <v>83886</v>
      </c>
      <c r="R150" s="492">
        <v>0</v>
      </c>
      <c r="S150" s="492">
        <v>0</v>
      </c>
      <c r="T150" s="492">
        <v>0</v>
      </c>
      <c r="U150" s="492">
        <v>0</v>
      </c>
      <c r="V150" s="492">
        <f>P150+Q150+R150+S150+T150+U150</f>
        <v>83886</v>
      </c>
      <c r="W150" s="492">
        <v>0</v>
      </c>
      <c r="X150" s="492">
        <v>0</v>
      </c>
      <c r="Y150" s="492">
        <v>0</v>
      </c>
      <c r="Z150" s="492">
        <f t="shared" si="254"/>
        <v>0</v>
      </c>
      <c r="AA150" s="492">
        <f t="shared" si="255"/>
        <v>83886</v>
      </c>
      <c r="AB150" s="494">
        <f t="shared" si="256"/>
        <v>28353</v>
      </c>
      <c r="AC150" s="494">
        <f t="shared" si="257"/>
        <v>839</v>
      </c>
      <c r="AD150" s="14">
        <v>0</v>
      </c>
      <c r="AE150" s="753">
        <f t="shared" si="247"/>
        <v>113078</v>
      </c>
      <c r="AF150" s="858">
        <v>0</v>
      </c>
      <c r="AG150" s="491">
        <f>0.08+0.08</f>
        <v>0.16</v>
      </c>
      <c r="AH150" s="491">
        <v>0</v>
      </c>
      <c r="AI150" s="491">
        <v>0</v>
      </c>
      <c r="AJ150" s="491">
        <v>0</v>
      </c>
      <c r="AK150" s="491">
        <v>0</v>
      </c>
      <c r="AL150" s="609">
        <f>SUM(AF150:AK150)</f>
        <v>0.16</v>
      </c>
      <c r="AM150" s="676">
        <f>I150+AE150</f>
        <v>5811892</v>
      </c>
      <c r="AN150" s="492">
        <f>J150+V150</f>
        <v>4291641</v>
      </c>
      <c r="AO150" s="492">
        <f t="shared" si="258"/>
        <v>20000</v>
      </c>
      <c r="AP150" s="492">
        <f t="shared" si="259"/>
        <v>1457334</v>
      </c>
      <c r="AQ150" s="492">
        <f t="shared" si="259"/>
        <v>42917</v>
      </c>
      <c r="AR150" s="573">
        <f t="shared" si="259"/>
        <v>0</v>
      </c>
      <c r="AS150" s="609">
        <f>O150+AL150</f>
        <v>10.62</v>
      </c>
    </row>
    <row r="151" spans="1:45" ht="14.1" customHeight="1" x14ac:dyDescent="0.2">
      <c r="A151" s="499">
        <v>40</v>
      </c>
      <c r="B151" s="511">
        <v>2465</v>
      </c>
      <c r="C151" s="512">
        <v>650018273</v>
      </c>
      <c r="D151" s="511">
        <v>72741791</v>
      </c>
      <c r="E151" s="510" t="s">
        <v>596</v>
      </c>
      <c r="F151" s="499">
        <v>3143</v>
      </c>
      <c r="G151" s="513" t="s">
        <v>794</v>
      </c>
      <c r="H151" s="495" t="s">
        <v>262</v>
      </c>
      <c r="I151" s="610">
        <v>2931184</v>
      </c>
      <c r="J151" s="14">
        <v>2154617</v>
      </c>
      <c r="K151" s="14">
        <v>20000</v>
      </c>
      <c r="L151" s="14">
        <v>735021</v>
      </c>
      <c r="M151" s="14">
        <v>21546</v>
      </c>
      <c r="N151" s="14">
        <v>0</v>
      </c>
      <c r="O151" s="121">
        <v>4.2507000000000001</v>
      </c>
      <c r="P151" s="676">
        <f t="shared" si="244"/>
        <v>0</v>
      </c>
      <c r="Q151" s="492">
        <v>0</v>
      </c>
      <c r="R151" s="492">
        <v>0</v>
      </c>
      <c r="S151" s="492">
        <v>0</v>
      </c>
      <c r="T151" s="492">
        <v>0</v>
      </c>
      <c r="U151" s="492">
        <v>0</v>
      </c>
      <c r="V151" s="492">
        <f>P151+Q151+R151+S151+T151+U151</f>
        <v>0</v>
      </c>
      <c r="W151" s="492">
        <v>0</v>
      </c>
      <c r="X151" s="492">
        <v>0</v>
      </c>
      <c r="Y151" s="492">
        <v>0</v>
      </c>
      <c r="Z151" s="492">
        <f t="shared" si="254"/>
        <v>0</v>
      </c>
      <c r="AA151" s="492">
        <f t="shared" si="255"/>
        <v>0</v>
      </c>
      <c r="AB151" s="494">
        <f t="shared" si="256"/>
        <v>0</v>
      </c>
      <c r="AC151" s="494">
        <f t="shared" si="257"/>
        <v>0</v>
      </c>
      <c r="AD151" s="14">
        <v>0</v>
      </c>
      <c r="AE151" s="753">
        <f t="shared" si="247"/>
        <v>0</v>
      </c>
      <c r="AF151" s="858">
        <v>0</v>
      </c>
      <c r="AG151" s="491">
        <v>0</v>
      </c>
      <c r="AH151" s="491">
        <v>0</v>
      </c>
      <c r="AI151" s="491">
        <v>0</v>
      </c>
      <c r="AJ151" s="491">
        <v>0</v>
      </c>
      <c r="AK151" s="491">
        <v>0</v>
      </c>
      <c r="AL151" s="609">
        <f>SUM(AF151:AK151)</f>
        <v>0</v>
      </c>
      <c r="AM151" s="676">
        <f>I151+AE151</f>
        <v>2931184</v>
      </c>
      <c r="AN151" s="492">
        <f>J151+V151</f>
        <v>2154617</v>
      </c>
      <c r="AO151" s="492">
        <f t="shared" si="258"/>
        <v>20000</v>
      </c>
      <c r="AP151" s="492">
        <f t="shared" si="259"/>
        <v>735021</v>
      </c>
      <c r="AQ151" s="492">
        <f t="shared" si="259"/>
        <v>21546</v>
      </c>
      <c r="AR151" s="573">
        <f t="shared" si="259"/>
        <v>0</v>
      </c>
      <c r="AS151" s="609">
        <f>O151+AL151</f>
        <v>4.2507000000000001</v>
      </c>
    </row>
    <row r="152" spans="1:45" ht="14.1" customHeight="1" x14ac:dyDescent="0.2">
      <c r="A152" s="509">
        <v>40</v>
      </c>
      <c r="B152" s="507">
        <v>2465</v>
      </c>
      <c r="C152" s="508">
        <v>650018273</v>
      </c>
      <c r="D152" s="507">
        <v>72741791</v>
      </c>
      <c r="E152" s="505" t="s">
        <v>597</v>
      </c>
      <c r="F152" s="509"/>
      <c r="G152" s="505"/>
      <c r="H152" s="504"/>
      <c r="I152" s="612">
        <v>35111449</v>
      </c>
      <c r="J152" s="503">
        <v>25947811</v>
      </c>
      <c r="K152" s="503">
        <v>100000</v>
      </c>
      <c r="L152" s="503">
        <v>8804160</v>
      </c>
      <c r="M152" s="503">
        <v>259478</v>
      </c>
      <c r="N152" s="503">
        <v>0</v>
      </c>
      <c r="O152" s="837">
        <v>43.600500000000004</v>
      </c>
      <c r="P152" s="612">
        <f t="shared" ref="P152:AS152" si="264">SUM(P147:P151)</f>
        <v>0</v>
      </c>
      <c r="Q152" s="502">
        <f t="shared" si="264"/>
        <v>83886</v>
      </c>
      <c r="R152" s="502">
        <f t="shared" si="264"/>
        <v>0</v>
      </c>
      <c r="S152" s="502">
        <f t="shared" si="264"/>
        <v>0</v>
      </c>
      <c r="T152" s="502">
        <f t="shared" si="264"/>
        <v>0</v>
      </c>
      <c r="U152" s="502">
        <f t="shared" si="264"/>
        <v>0</v>
      </c>
      <c r="V152" s="502">
        <f t="shared" si="264"/>
        <v>83886</v>
      </c>
      <c r="W152" s="502">
        <f t="shared" si="264"/>
        <v>0</v>
      </c>
      <c r="X152" s="502">
        <f t="shared" si="264"/>
        <v>0</v>
      </c>
      <c r="Y152" s="502">
        <f t="shared" si="264"/>
        <v>0</v>
      </c>
      <c r="Z152" s="502">
        <f t="shared" si="264"/>
        <v>0</v>
      </c>
      <c r="AA152" s="502">
        <f t="shared" si="264"/>
        <v>83886</v>
      </c>
      <c r="AB152" s="502">
        <f t="shared" si="264"/>
        <v>28353</v>
      </c>
      <c r="AC152" s="502">
        <f t="shared" si="264"/>
        <v>839</v>
      </c>
      <c r="AD152" s="502">
        <f t="shared" si="264"/>
        <v>0</v>
      </c>
      <c r="AE152" s="852">
        <f t="shared" si="264"/>
        <v>113078</v>
      </c>
      <c r="AF152" s="857">
        <f t="shared" si="264"/>
        <v>0</v>
      </c>
      <c r="AG152" s="848">
        <f t="shared" si="264"/>
        <v>0.16</v>
      </c>
      <c r="AH152" s="848">
        <f t="shared" si="264"/>
        <v>0</v>
      </c>
      <c r="AI152" s="848">
        <f t="shared" si="264"/>
        <v>0</v>
      </c>
      <c r="AJ152" s="848">
        <f t="shared" si="264"/>
        <v>0</v>
      </c>
      <c r="AK152" s="848">
        <f t="shared" si="264"/>
        <v>0</v>
      </c>
      <c r="AL152" s="613">
        <f t="shared" si="264"/>
        <v>0.16</v>
      </c>
      <c r="AM152" s="612">
        <f t="shared" si="264"/>
        <v>35224527</v>
      </c>
      <c r="AN152" s="502">
        <f t="shared" si="264"/>
        <v>26031697</v>
      </c>
      <c r="AO152" s="549">
        <f t="shared" si="264"/>
        <v>100000</v>
      </c>
      <c r="AP152" s="502">
        <f t="shared" si="264"/>
        <v>8832513</v>
      </c>
      <c r="AQ152" s="502">
        <f t="shared" si="264"/>
        <v>260317</v>
      </c>
      <c r="AR152" s="502">
        <f t="shared" si="264"/>
        <v>0</v>
      </c>
      <c r="AS152" s="613">
        <f t="shared" si="264"/>
        <v>43.7605</v>
      </c>
    </row>
    <row r="153" spans="1:45" ht="14.1" customHeight="1" x14ac:dyDescent="0.2">
      <c r="A153" s="499">
        <v>41</v>
      </c>
      <c r="B153" s="511">
        <v>2480</v>
      </c>
      <c r="C153" s="512">
        <v>600080293</v>
      </c>
      <c r="D153" s="511">
        <v>46744924</v>
      </c>
      <c r="E153" s="510" t="s">
        <v>598</v>
      </c>
      <c r="F153" s="499">
        <v>3113</v>
      </c>
      <c r="G153" s="510" t="s">
        <v>280</v>
      </c>
      <c r="H153" s="495" t="s">
        <v>262</v>
      </c>
      <c r="I153" s="610">
        <v>34546886</v>
      </c>
      <c r="J153" s="14">
        <v>25608401</v>
      </c>
      <c r="K153" s="14">
        <v>20000</v>
      </c>
      <c r="L153" s="14">
        <v>8662400</v>
      </c>
      <c r="M153" s="14">
        <v>256085</v>
      </c>
      <c r="N153" s="14">
        <v>0</v>
      </c>
      <c r="O153" s="121">
        <v>32.2881</v>
      </c>
      <c r="P153" s="676">
        <f t="shared" si="244"/>
        <v>0</v>
      </c>
      <c r="Q153" s="492">
        <v>0</v>
      </c>
      <c r="R153" s="492">
        <v>0</v>
      </c>
      <c r="S153" s="492">
        <v>0</v>
      </c>
      <c r="T153" s="492">
        <v>0</v>
      </c>
      <c r="U153" s="492">
        <v>0</v>
      </c>
      <c r="V153" s="492">
        <f>P153+Q153+R153+S153+T153+U153</f>
        <v>0</v>
      </c>
      <c r="W153" s="492">
        <v>0</v>
      </c>
      <c r="X153" s="492">
        <v>0</v>
      </c>
      <c r="Y153" s="492">
        <v>0</v>
      </c>
      <c r="Z153" s="492">
        <f t="shared" ref="Z153:Z157" si="265">W153+X153+Y153</f>
        <v>0</v>
      </c>
      <c r="AA153" s="492">
        <f t="shared" ref="AA153:AA157" si="266">V153+Z153</f>
        <v>0</v>
      </c>
      <c r="AB153" s="494">
        <f t="shared" ref="AB153:AB157" si="267">ROUND((V153+Z153)*33.8%,0)</f>
        <v>0</v>
      </c>
      <c r="AC153" s="494">
        <f t="shared" ref="AC153:AC157" si="268">ROUND(V153*1%,0)</f>
        <v>0</v>
      </c>
      <c r="AD153" s="14">
        <v>0</v>
      </c>
      <c r="AE153" s="753">
        <f t="shared" si="247"/>
        <v>0</v>
      </c>
      <c r="AF153" s="858">
        <v>0</v>
      </c>
      <c r="AG153" s="491">
        <v>0</v>
      </c>
      <c r="AH153" s="491">
        <v>0</v>
      </c>
      <c r="AI153" s="491">
        <v>0</v>
      </c>
      <c r="AJ153" s="491">
        <v>0</v>
      </c>
      <c r="AK153" s="491">
        <v>0</v>
      </c>
      <c r="AL153" s="609">
        <f>SUM(AF153:AK153)</f>
        <v>0</v>
      </c>
      <c r="AM153" s="676">
        <f>I153+AE153</f>
        <v>34546886</v>
      </c>
      <c r="AN153" s="492">
        <f>J153+V153</f>
        <v>25608401</v>
      </c>
      <c r="AO153" s="492">
        <f t="shared" ref="AO153:AO157" si="269">K153+Z153</f>
        <v>20000</v>
      </c>
      <c r="AP153" s="492">
        <f t="shared" ref="AP153:AR157" si="270">L153+AB153</f>
        <v>8662400</v>
      </c>
      <c r="AQ153" s="492">
        <f t="shared" si="270"/>
        <v>256085</v>
      </c>
      <c r="AR153" s="573">
        <f t="shared" si="270"/>
        <v>0</v>
      </c>
      <c r="AS153" s="609">
        <f>O153+AL153</f>
        <v>32.2881</v>
      </c>
    </row>
    <row r="154" spans="1:45" ht="14.1" customHeight="1" x14ac:dyDescent="0.2">
      <c r="A154" s="499">
        <v>41</v>
      </c>
      <c r="B154" s="511">
        <v>2480</v>
      </c>
      <c r="C154" s="512">
        <v>600080293</v>
      </c>
      <c r="D154" s="511">
        <v>46744924</v>
      </c>
      <c r="E154" s="510" t="s">
        <v>598</v>
      </c>
      <c r="F154" s="499">
        <v>3113</v>
      </c>
      <c r="G154" s="510" t="s">
        <v>799</v>
      </c>
      <c r="H154" s="495" t="s">
        <v>262</v>
      </c>
      <c r="I154" s="610">
        <v>790909</v>
      </c>
      <c r="J154" s="14">
        <v>586728</v>
      </c>
      <c r="K154" s="14">
        <v>0</v>
      </c>
      <c r="L154" s="14">
        <v>198314</v>
      </c>
      <c r="M154" s="14">
        <v>5867</v>
      </c>
      <c r="N154" s="14">
        <v>0</v>
      </c>
      <c r="O154" s="121">
        <v>1</v>
      </c>
      <c r="P154" s="676">
        <f t="shared" si="244"/>
        <v>0</v>
      </c>
      <c r="Q154" s="492">
        <v>0</v>
      </c>
      <c r="R154" s="492">
        <v>0</v>
      </c>
      <c r="S154" s="492">
        <v>0</v>
      </c>
      <c r="T154" s="492">
        <v>0</v>
      </c>
      <c r="U154" s="492">
        <v>0</v>
      </c>
      <c r="V154" s="492">
        <f>P154+Q154+R154+S154+T154+U154</f>
        <v>0</v>
      </c>
      <c r="W154" s="492">
        <v>0</v>
      </c>
      <c r="X154" s="492">
        <v>0</v>
      </c>
      <c r="Y154" s="492">
        <v>0</v>
      </c>
      <c r="Z154" s="492">
        <f t="shared" ref="Z154" si="271">W154+X154+Y154</f>
        <v>0</v>
      </c>
      <c r="AA154" s="492">
        <f t="shared" ref="AA154" si="272">V154+Z154</f>
        <v>0</v>
      </c>
      <c r="AB154" s="494">
        <f t="shared" ref="AB154" si="273">ROUND((V154+Z154)*33.8%,0)</f>
        <v>0</v>
      </c>
      <c r="AC154" s="494">
        <f t="shared" ref="AC154" si="274">ROUND(V154*1%,0)</f>
        <v>0</v>
      </c>
      <c r="AD154" s="14">
        <v>0</v>
      </c>
      <c r="AE154" s="753">
        <f t="shared" si="247"/>
        <v>0</v>
      </c>
      <c r="AF154" s="858">
        <v>0</v>
      </c>
      <c r="AG154" s="491">
        <v>0</v>
      </c>
      <c r="AH154" s="491">
        <v>0</v>
      </c>
      <c r="AI154" s="491">
        <v>0</v>
      </c>
      <c r="AJ154" s="491">
        <v>0</v>
      </c>
      <c r="AK154" s="491">
        <v>0</v>
      </c>
      <c r="AL154" s="609">
        <f>SUM(AF154:AK154)</f>
        <v>0</v>
      </c>
      <c r="AM154" s="676">
        <f>I154+AE154</f>
        <v>790909</v>
      </c>
      <c r="AN154" s="492">
        <f>J154+V154</f>
        <v>586728</v>
      </c>
      <c r="AO154" s="492">
        <f t="shared" si="269"/>
        <v>0</v>
      </c>
      <c r="AP154" s="492">
        <f t="shared" si="270"/>
        <v>198314</v>
      </c>
      <c r="AQ154" s="492">
        <f t="shared" si="270"/>
        <v>5867</v>
      </c>
      <c r="AR154" s="573">
        <f t="shared" si="270"/>
        <v>0</v>
      </c>
      <c r="AS154" s="609">
        <f>O154+AL154</f>
        <v>1</v>
      </c>
    </row>
    <row r="155" spans="1:45" ht="14.1" customHeight="1" x14ac:dyDescent="0.2">
      <c r="A155" s="499">
        <v>41</v>
      </c>
      <c r="B155" s="511">
        <v>2480</v>
      </c>
      <c r="C155" s="512">
        <v>600080293</v>
      </c>
      <c r="D155" s="511">
        <v>46744924</v>
      </c>
      <c r="E155" s="510" t="s">
        <v>598</v>
      </c>
      <c r="F155" s="499">
        <v>3113</v>
      </c>
      <c r="G155" s="513" t="s">
        <v>278</v>
      </c>
      <c r="H155" s="495" t="s">
        <v>263</v>
      </c>
      <c r="I155" s="610">
        <v>2006661</v>
      </c>
      <c r="J155" s="490">
        <v>1488621</v>
      </c>
      <c r="K155" s="490">
        <v>0</v>
      </c>
      <c r="L155" s="14">
        <v>503154</v>
      </c>
      <c r="M155" s="14">
        <v>14886</v>
      </c>
      <c r="N155" s="14">
        <v>0</v>
      </c>
      <c r="O155" s="664">
        <v>3.54</v>
      </c>
      <c r="P155" s="676">
        <f t="shared" si="244"/>
        <v>0</v>
      </c>
      <c r="Q155" s="492">
        <v>39735</v>
      </c>
      <c r="R155" s="492">
        <v>0</v>
      </c>
      <c r="S155" s="492">
        <v>0</v>
      </c>
      <c r="T155" s="492">
        <v>0</v>
      </c>
      <c r="U155" s="492">
        <v>0</v>
      </c>
      <c r="V155" s="492">
        <f>P155+Q155+R155+S155+T155+U155</f>
        <v>39735</v>
      </c>
      <c r="W155" s="492">
        <v>0</v>
      </c>
      <c r="X155" s="492">
        <v>0</v>
      </c>
      <c r="Y155" s="492">
        <v>0</v>
      </c>
      <c r="Z155" s="492">
        <f t="shared" si="265"/>
        <v>0</v>
      </c>
      <c r="AA155" s="492">
        <f t="shared" si="266"/>
        <v>39735</v>
      </c>
      <c r="AB155" s="494">
        <f t="shared" si="267"/>
        <v>13430</v>
      </c>
      <c r="AC155" s="494">
        <f t="shared" si="268"/>
        <v>397</v>
      </c>
      <c r="AD155" s="14">
        <v>0</v>
      </c>
      <c r="AE155" s="753">
        <f t="shared" si="247"/>
        <v>53562</v>
      </c>
      <c r="AF155" s="858">
        <v>0</v>
      </c>
      <c r="AG155" s="491">
        <v>0.08</v>
      </c>
      <c r="AH155" s="491">
        <v>0</v>
      </c>
      <c r="AI155" s="491">
        <v>0</v>
      </c>
      <c r="AJ155" s="491">
        <v>0</v>
      </c>
      <c r="AK155" s="491">
        <v>0</v>
      </c>
      <c r="AL155" s="609">
        <f>SUM(AF155:AK155)</f>
        <v>0.08</v>
      </c>
      <c r="AM155" s="676">
        <f>I155+AE155</f>
        <v>2060223</v>
      </c>
      <c r="AN155" s="492">
        <f>J155+V155</f>
        <v>1528356</v>
      </c>
      <c r="AO155" s="492">
        <f t="shared" si="269"/>
        <v>0</v>
      </c>
      <c r="AP155" s="492">
        <f t="shared" si="270"/>
        <v>516584</v>
      </c>
      <c r="AQ155" s="492">
        <f t="shared" si="270"/>
        <v>15283</v>
      </c>
      <c r="AR155" s="573">
        <f t="shared" si="270"/>
        <v>0</v>
      </c>
      <c r="AS155" s="609">
        <f>O155+AL155</f>
        <v>3.62</v>
      </c>
    </row>
    <row r="156" spans="1:45" ht="14.1" customHeight="1" x14ac:dyDescent="0.2">
      <c r="A156" s="499">
        <v>41</v>
      </c>
      <c r="B156" s="511">
        <v>2480</v>
      </c>
      <c r="C156" s="512">
        <v>600080293</v>
      </c>
      <c r="D156" s="511">
        <v>46744924</v>
      </c>
      <c r="E156" s="510" t="s">
        <v>598</v>
      </c>
      <c r="F156" s="499">
        <v>3143</v>
      </c>
      <c r="G156" s="513" t="s">
        <v>794</v>
      </c>
      <c r="H156" s="495" t="s">
        <v>262</v>
      </c>
      <c r="I156" s="610">
        <v>3704620</v>
      </c>
      <c r="J156" s="14">
        <v>2748235</v>
      </c>
      <c r="K156" s="14">
        <v>0</v>
      </c>
      <c r="L156" s="14">
        <v>928903</v>
      </c>
      <c r="M156" s="14">
        <v>27482</v>
      </c>
      <c r="N156" s="14">
        <v>0</v>
      </c>
      <c r="O156" s="121">
        <v>5.1100000000000003</v>
      </c>
      <c r="P156" s="676">
        <f t="shared" si="244"/>
        <v>0</v>
      </c>
      <c r="Q156" s="492">
        <v>0</v>
      </c>
      <c r="R156" s="492">
        <v>0</v>
      </c>
      <c r="S156" s="492">
        <v>0</v>
      </c>
      <c r="T156" s="492">
        <v>0</v>
      </c>
      <c r="U156" s="492">
        <v>0</v>
      </c>
      <c r="V156" s="492">
        <f>P156+Q156+R156+S156+T156+U156</f>
        <v>0</v>
      </c>
      <c r="W156" s="492">
        <v>0</v>
      </c>
      <c r="X156" s="492">
        <v>0</v>
      </c>
      <c r="Y156" s="492">
        <v>0</v>
      </c>
      <c r="Z156" s="492">
        <f t="shared" si="265"/>
        <v>0</v>
      </c>
      <c r="AA156" s="492">
        <f t="shared" si="266"/>
        <v>0</v>
      </c>
      <c r="AB156" s="494">
        <f t="shared" si="267"/>
        <v>0</v>
      </c>
      <c r="AC156" s="494">
        <f t="shared" si="268"/>
        <v>0</v>
      </c>
      <c r="AD156" s="14">
        <v>0</v>
      </c>
      <c r="AE156" s="753">
        <f t="shared" si="247"/>
        <v>0</v>
      </c>
      <c r="AF156" s="858">
        <v>0</v>
      </c>
      <c r="AG156" s="491">
        <v>0</v>
      </c>
      <c r="AH156" s="491">
        <v>0</v>
      </c>
      <c r="AI156" s="491">
        <v>0</v>
      </c>
      <c r="AJ156" s="491">
        <v>0</v>
      </c>
      <c r="AK156" s="491">
        <v>0</v>
      </c>
      <c r="AL156" s="609">
        <f>SUM(AF156:AK156)</f>
        <v>0</v>
      </c>
      <c r="AM156" s="676">
        <f>I156+AE156</f>
        <v>3704620</v>
      </c>
      <c r="AN156" s="492">
        <f>J156+V156</f>
        <v>2748235</v>
      </c>
      <c r="AO156" s="492">
        <f t="shared" si="269"/>
        <v>0</v>
      </c>
      <c r="AP156" s="492">
        <f t="shared" si="270"/>
        <v>928903</v>
      </c>
      <c r="AQ156" s="492">
        <f t="shared" si="270"/>
        <v>27482</v>
      </c>
      <c r="AR156" s="573">
        <f t="shared" si="270"/>
        <v>0</v>
      </c>
      <c r="AS156" s="609">
        <f>O156+AL156</f>
        <v>5.1100000000000003</v>
      </c>
    </row>
    <row r="157" spans="1:45" ht="14.1" customHeight="1" x14ac:dyDescent="0.2">
      <c r="A157" s="499">
        <v>41</v>
      </c>
      <c r="B157" s="511">
        <v>2480</v>
      </c>
      <c r="C157" s="512">
        <v>600080293</v>
      </c>
      <c r="D157" s="511">
        <v>46744924</v>
      </c>
      <c r="E157" s="510" t="s">
        <v>598</v>
      </c>
      <c r="F157" s="499">
        <v>3143</v>
      </c>
      <c r="G157" s="513" t="s">
        <v>282</v>
      </c>
      <c r="H157" s="495" t="s">
        <v>263</v>
      </c>
      <c r="I157" s="610">
        <v>1002469</v>
      </c>
      <c r="J157" s="490">
        <v>743671</v>
      </c>
      <c r="K157" s="490">
        <v>0</v>
      </c>
      <c r="L157" s="14">
        <v>251361</v>
      </c>
      <c r="M157" s="14">
        <v>7437</v>
      </c>
      <c r="N157" s="14">
        <v>0</v>
      </c>
      <c r="O157" s="664">
        <v>1.38</v>
      </c>
      <c r="P157" s="676">
        <f t="shared" si="244"/>
        <v>0</v>
      </c>
      <c r="Q157" s="492">
        <v>0</v>
      </c>
      <c r="R157" s="492">
        <v>0</v>
      </c>
      <c r="S157" s="492">
        <v>0</v>
      </c>
      <c r="T157" s="492">
        <v>0</v>
      </c>
      <c r="U157" s="492">
        <v>0</v>
      </c>
      <c r="V157" s="492">
        <f>P157+Q157+R157+S157+T157+U157</f>
        <v>0</v>
      </c>
      <c r="W157" s="492">
        <v>0</v>
      </c>
      <c r="X157" s="492">
        <v>0</v>
      </c>
      <c r="Y157" s="492">
        <v>0</v>
      </c>
      <c r="Z157" s="492">
        <f t="shared" si="265"/>
        <v>0</v>
      </c>
      <c r="AA157" s="492">
        <f t="shared" si="266"/>
        <v>0</v>
      </c>
      <c r="AB157" s="494">
        <f t="shared" si="267"/>
        <v>0</v>
      </c>
      <c r="AC157" s="494">
        <f t="shared" si="268"/>
        <v>0</v>
      </c>
      <c r="AD157" s="14">
        <v>0</v>
      </c>
      <c r="AE157" s="753">
        <f t="shared" si="247"/>
        <v>0</v>
      </c>
      <c r="AF157" s="858">
        <v>0</v>
      </c>
      <c r="AG157" s="491">
        <v>0</v>
      </c>
      <c r="AH157" s="491">
        <v>0</v>
      </c>
      <c r="AI157" s="491">
        <v>0</v>
      </c>
      <c r="AJ157" s="491">
        <v>0</v>
      </c>
      <c r="AK157" s="491">
        <v>0</v>
      </c>
      <c r="AL157" s="609">
        <f>SUM(AF157:AK157)</f>
        <v>0</v>
      </c>
      <c r="AM157" s="676">
        <f>I157+AE157</f>
        <v>1002469</v>
      </c>
      <c r="AN157" s="492">
        <f>J157+V157</f>
        <v>743671</v>
      </c>
      <c r="AO157" s="492">
        <f t="shared" si="269"/>
        <v>0</v>
      </c>
      <c r="AP157" s="492">
        <f t="shared" si="270"/>
        <v>251361</v>
      </c>
      <c r="AQ157" s="492">
        <f t="shared" si="270"/>
        <v>7437</v>
      </c>
      <c r="AR157" s="573">
        <f t="shared" si="270"/>
        <v>0</v>
      </c>
      <c r="AS157" s="609">
        <f>O157+AL157</f>
        <v>1.38</v>
      </c>
    </row>
    <row r="158" spans="1:45" ht="14.1" customHeight="1" x14ac:dyDescent="0.2">
      <c r="A158" s="509">
        <v>41</v>
      </c>
      <c r="B158" s="507">
        <v>2480</v>
      </c>
      <c r="C158" s="508">
        <v>600080293</v>
      </c>
      <c r="D158" s="507">
        <v>46744924</v>
      </c>
      <c r="E158" s="505" t="s">
        <v>599</v>
      </c>
      <c r="F158" s="509"/>
      <c r="G158" s="505"/>
      <c r="H158" s="504"/>
      <c r="I158" s="612">
        <v>42051545</v>
      </c>
      <c r="J158" s="503">
        <v>31175656</v>
      </c>
      <c r="K158" s="503">
        <v>20000</v>
      </c>
      <c r="L158" s="503">
        <v>10544132</v>
      </c>
      <c r="M158" s="503">
        <v>311757</v>
      </c>
      <c r="N158" s="503">
        <v>0</v>
      </c>
      <c r="O158" s="837">
        <v>43.318100000000001</v>
      </c>
      <c r="P158" s="612">
        <f t="shared" ref="P158:AS158" si="275">SUM(P153:P157)</f>
        <v>0</v>
      </c>
      <c r="Q158" s="502">
        <f t="shared" si="275"/>
        <v>39735</v>
      </c>
      <c r="R158" s="502">
        <f t="shared" si="275"/>
        <v>0</v>
      </c>
      <c r="S158" s="502">
        <f t="shared" si="275"/>
        <v>0</v>
      </c>
      <c r="T158" s="502">
        <f t="shared" si="275"/>
        <v>0</v>
      </c>
      <c r="U158" s="502">
        <f t="shared" si="275"/>
        <v>0</v>
      </c>
      <c r="V158" s="502">
        <f t="shared" si="275"/>
        <v>39735</v>
      </c>
      <c r="W158" s="502">
        <f t="shared" si="275"/>
        <v>0</v>
      </c>
      <c r="X158" s="502">
        <f t="shared" si="275"/>
        <v>0</v>
      </c>
      <c r="Y158" s="502">
        <f t="shared" si="275"/>
        <v>0</v>
      </c>
      <c r="Z158" s="502">
        <f t="shared" si="275"/>
        <v>0</v>
      </c>
      <c r="AA158" s="502">
        <f t="shared" si="275"/>
        <v>39735</v>
      </c>
      <c r="AB158" s="502">
        <f t="shared" si="275"/>
        <v>13430</v>
      </c>
      <c r="AC158" s="502">
        <f t="shared" si="275"/>
        <v>397</v>
      </c>
      <c r="AD158" s="502">
        <f t="shared" si="275"/>
        <v>0</v>
      </c>
      <c r="AE158" s="852">
        <f t="shared" si="275"/>
        <v>53562</v>
      </c>
      <c r="AF158" s="857">
        <f t="shared" si="275"/>
        <v>0</v>
      </c>
      <c r="AG158" s="848">
        <f t="shared" si="275"/>
        <v>0.08</v>
      </c>
      <c r="AH158" s="848">
        <f t="shared" si="275"/>
        <v>0</v>
      </c>
      <c r="AI158" s="848">
        <f t="shared" si="275"/>
        <v>0</v>
      </c>
      <c r="AJ158" s="848">
        <f t="shared" si="275"/>
        <v>0</v>
      </c>
      <c r="AK158" s="848">
        <f t="shared" si="275"/>
        <v>0</v>
      </c>
      <c r="AL158" s="613">
        <f t="shared" si="275"/>
        <v>0.08</v>
      </c>
      <c r="AM158" s="612">
        <f t="shared" si="275"/>
        <v>42105107</v>
      </c>
      <c r="AN158" s="502">
        <f t="shared" si="275"/>
        <v>31215391</v>
      </c>
      <c r="AO158" s="549">
        <f t="shared" si="275"/>
        <v>20000</v>
      </c>
      <c r="AP158" s="502">
        <f t="shared" si="275"/>
        <v>10557562</v>
      </c>
      <c r="AQ158" s="502">
        <f t="shared" si="275"/>
        <v>312154</v>
      </c>
      <c r="AR158" s="502">
        <f t="shared" si="275"/>
        <v>0</v>
      </c>
      <c r="AS158" s="613">
        <f t="shared" si="275"/>
        <v>43.398099999999999</v>
      </c>
    </row>
    <row r="159" spans="1:45" ht="14.1" customHeight="1" x14ac:dyDescent="0.2">
      <c r="A159" s="499">
        <v>42</v>
      </c>
      <c r="B159" s="511">
        <v>2482</v>
      </c>
      <c r="C159" s="512">
        <v>600079945</v>
      </c>
      <c r="D159" s="511">
        <v>72741716</v>
      </c>
      <c r="E159" s="510" t="s">
        <v>600</v>
      </c>
      <c r="F159" s="499">
        <v>3113</v>
      </c>
      <c r="G159" s="510" t="s">
        <v>280</v>
      </c>
      <c r="H159" s="495" t="s">
        <v>262</v>
      </c>
      <c r="I159" s="610">
        <v>15723028</v>
      </c>
      <c r="J159" s="14">
        <v>11589607</v>
      </c>
      <c r="K159" s="14">
        <v>74916</v>
      </c>
      <c r="L159" s="14">
        <v>3942609</v>
      </c>
      <c r="M159" s="14">
        <v>115896</v>
      </c>
      <c r="N159" s="14">
        <v>0</v>
      </c>
      <c r="O159" s="121">
        <v>15.197100000000001</v>
      </c>
      <c r="P159" s="676">
        <f t="shared" si="244"/>
        <v>0</v>
      </c>
      <c r="Q159" s="492">
        <v>0</v>
      </c>
      <c r="R159" s="492">
        <v>0</v>
      </c>
      <c r="S159" s="492">
        <v>0</v>
      </c>
      <c r="T159" s="492">
        <v>0</v>
      </c>
      <c r="U159" s="492">
        <v>0</v>
      </c>
      <c r="V159" s="492">
        <f>P159+Q159+R159+S159+T159+U159</f>
        <v>0</v>
      </c>
      <c r="W159" s="492">
        <v>0</v>
      </c>
      <c r="X159" s="492">
        <v>0</v>
      </c>
      <c r="Y159" s="492">
        <v>0</v>
      </c>
      <c r="Z159" s="492">
        <f t="shared" ref="Z159:Z162" si="276">W159+X159+Y159</f>
        <v>0</v>
      </c>
      <c r="AA159" s="492">
        <f t="shared" ref="AA159:AA162" si="277">V159+Z159</f>
        <v>0</v>
      </c>
      <c r="AB159" s="494">
        <f t="shared" ref="AB159:AB162" si="278">ROUND((V159+Z159)*33.8%,0)</f>
        <v>0</v>
      </c>
      <c r="AC159" s="494">
        <f>ROUND(V159*1%,0)</f>
        <v>0</v>
      </c>
      <c r="AD159" s="14">
        <v>0</v>
      </c>
      <c r="AE159" s="753">
        <f t="shared" si="247"/>
        <v>0</v>
      </c>
      <c r="AF159" s="858">
        <v>0</v>
      </c>
      <c r="AG159" s="491">
        <v>0</v>
      </c>
      <c r="AH159" s="491">
        <v>0</v>
      </c>
      <c r="AI159" s="491">
        <v>0</v>
      </c>
      <c r="AJ159" s="491">
        <v>0</v>
      </c>
      <c r="AK159" s="491">
        <v>0</v>
      </c>
      <c r="AL159" s="609">
        <f>SUM(AF159:AK159)</f>
        <v>0</v>
      </c>
      <c r="AM159" s="676">
        <f>I159+AE159</f>
        <v>15723028</v>
      </c>
      <c r="AN159" s="492">
        <f>J159+V159</f>
        <v>11589607</v>
      </c>
      <c r="AO159" s="492">
        <f t="shared" ref="AO159:AO162" si="279">K159+Z159</f>
        <v>74916</v>
      </c>
      <c r="AP159" s="492">
        <f t="shared" ref="AP159:AR162" si="280">L159+AB159</f>
        <v>3942609</v>
      </c>
      <c r="AQ159" s="492">
        <f t="shared" si="280"/>
        <v>115896</v>
      </c>
      <c r="AR159" s="573">
        <f t="shared" si="280"/>
        <v>0</v>
      </c>
      <c r="AS159" s="609">
        <f>O159+AL159</f>
        <v>15.197100000000001</v>
      </c>
    </row>
    <row r="160" spans="1:45" ht="14.1" customHeight="1" x14ac:dyDescent="0.2">
      <c r="A160" s="499">
        <v>42</v>
      </c>
      <c r="B160" s="511">
        <v>2482</v>
      </c>
      <c r="C160" s="512">
        <v>600079945</v>
      </c>
      <c r="D160" s="511">
        <v>72741716</v>
      </c>
      <c r="E160" s="510" t="s">
        <v>600</v>
      </c>
      <c r="F160" s="499">
        <v>3113</v>
      </c>
      <c r="G160" s="510" t="s">
        <v>799</v>
      </c>
      <c r="H160" s="495" t="s">
        <v>262</v>
      </c>
      <c r="I160" s="610">
        <v>380532</v>
      </c>
      <c r="J160" s="490">
        <v>282294</v>
      </c>
      <c r="K160" s="490">
        <v>0</v>
      </c>
      <c r="L160" s="14">
        <v>95415</v>
      </c>
      <c r="M160" s="14">
        <v>2823</v>
      </c>
      <c r="N160" s="14">
        <v>0</v>
      </c>
      <c r="O160" s="664">
        <v>0.5</v>
      </c>
      <c r="P160" s="676">
        <f t="shared" si="244"/>
        <v>0</v>
      </c>
      <c r="Q160" s="492">
        <v>0</v>
      </c>
      <c r="R160" s="492">
        <v>0</v>
      </c>
      <c r="S160" s="492">
        <v>0</v>
      </c>
      <c r="T160" s="492">
        <v>0</v>
      </c>
      <c r="U160" s="492">
        <v>0</v>
      </c>
      <c r="V160" s="492">
        <f>P160+Q160+R160+S160+T160+U160</f>
        <v>0</v>
      </c>
      <c r="W160" s="492">
        <v>0</v>
      </c>
      <c r="X160" s="492">
        <v>0</v>
      </c>
      <c r="Y160" s="492">
        <v>0</v>
      </c>
      <c r="Z160" s="492">
        <f t="shared" ref="Z160" si="281">W160+X160+Y160</f>
        <v>0</v>
      </c>
      <c r="AA160" s="492">
        <f t="shared" ref="AA160" si="282">V160+Z160</f>
        <v>0</v>
      </c>
      <c r="AB160" s="494">
        <f t="shared" ref="AB160" si="283">ROUND((V160+Z160)*33.8%,0)</f>
        <v>0</v>
      </c>
      <c r="AC160" s="494">
        <f>ROUND(V160*1%,0)</f>
        <v>0</v>
      </c>
      <c r="AD160" s="14">
        <v>0</v>
      </c>
      <c r="AE160" s="753">
        <f t="shared" si="247"/>
        <v>0</v>
      </c>
      <c r="AF160" s="858">
        <v>0</v>
      </c>
      <c r="AG160" s="491">
        <v>0</v>
      </c>
      <c r="AH160" s="491">
        <v>0</v>
      </c>
      <c r="AI160" s="491">
        <v>0</v>
      </c>
      <c r="AJ160" s="491">
        <v>0</v>
      </c>
      <c r="AK160" s="491">
        <v>0</v>
      </c>
      <c r="AL160" s="609">
        <f>SUM(AF160:AK160)</f>
        <v>0</v>
      </c>
      <c r="AM160" s="676">
        <f>I160+AE160</f>
        <v>380532</v>
      </c>
      <c r="AN160" s="492">
        <f>J160+V160</f>
        <v>282294</v>
      </c>
      <c r="AO160" s="492">
        <f t="shared" si="279"/>
        <v>0</v>
      </c>
      <c r="AP160" s="492">
        <f t="shared" si="280"/>
        <v>95415</v>
      </c>
      <c r="AQ160" s="492">
        <f t="shared" si="280"/>
        <v>2823</v>
      </c>
      <c r="AR160" s="573">
        <f t="shared" si="280"/>
        <v>0</v>
      </c>
      <c r="AS160" s="609">
        <f>O160+AL160</f>
        <v>0.5</v>
      </c>
    </row>
    <row r="161" spans="1:45" ht="14.1" customHeight="1" x14ac:dyDescent="0.2">
      <c r="A161" s="499">
        <v>42</v>
      </c>
      <c r="B161" s="511">
        <v>2482</v>
      </c>
      <c r="C161" s="512">
        <v>600079945</v>
      </c>
      <c r="D161" s="511">
        <v>72741716</v>
      </c>
      <c r="E161" s="510" t="s">
        <v>600</v>
      </c>
      <c r="F161" s="499">
        <v>3113</v>
      </c>
      <c r="G161" s="513" t="s">
        <v>278</v>
      </c>
      <c r="H161" s="495" t="s">
        <v>263</v>
      </c>
      <c r="I161" s="610">
        <v>3097736</v>
      </c>
      <c r="J161" s="490">
        <v>2298024</v>
      </c>
      <c r="K161" s="490">
        <v>0</v>
      </c>
      <c r="L161" s="14">
        <v>776732</v>
      </c>
      <c r="M161" s="14">
        <v>22980</v>
      </c>
      <c r="N161" s="14">
        <v>0</v>
      </c>
      <c r="O161" s="664">
        <v>5.4399999999999995</v>
      </c>
      <c r="P161" s="676">
        <f t="shared" si="244"/>
        <v>0</v>
      </c>
      <c r="Q161" s="492">
        <v>-19868</v>
      </c>
      <c r="R161" s="492">
        <v>0</v>
      </c>
      <c r="S161" s="492">
        <v>0</v>
      </c>
      <c r="T161" s="492">
        <v>0</v>
      </c>
      <c r="U161" s="492">
        <v>0</v>
      </c>
      <c r="V161" s="492">
        <f>P161+Q161+R161+S161+T161+U161</f>
        <v>-19868</v>
      </c>
      <c r="W161" s="492">
        <v>0</v>
      </c>
      <c r="X161" s="492">
        <v>0</v>
      </c>
      <c r="Y161" s="492">
        <v>0</v>
      </c>
      <c r="Z161" s="492">
        <f t="shared" si="276"/>
        <v>0</v>
      </c>
      <c r="AA161" s="492">
        <f t="shared" si="277"/>
        <v>-19868</v>
      </c>
      <c r="AB161" s="494">
        <f t="shared" si="278"/>
        <v>-6715</v>
      </c>
      <c r="AC161" s="494">
        <f>ROUND(V161*1%,0)</f>
        <v>-199</v>
      </c>
      <c r="AD161" s="14">
        <v>0</v>
      </c>
      <c r="AE161" s="753">
        <f t="shared" si="247"/>
        <v>-26782</v>
      </c>
      <c r="AF161" s="858">
        <v>0</v>
      </c>
      <c r="AG161" s="491">
        <v>-0.04</v>
      </c>
      <c r="AH161" s="491">
        <v>0</v>
      </c>
      <c r="AI161" s="491">
        <v>0</v>
      </c>
      <c r="AJ161" s="491">
        <v>0</v>
      </c>
      <c r="AK161" s="491">
        <v>0</v>
      </c>
      <c r="AL161" s="609">
        <f>SUM(AF161:AK161)</f>
        <v>-0.04</v>
      </c>
      <c r="AM161" s="676">
        <f>I161+AE161</f>
        <v>3070954</v>
      </c>
      <c r="AN161" s="492">
        <f>J161+V161</f>
        <v>2278156</v>
      </c>
      <c r="AO161" s="492">
        <f t="shared" si="279"/>
        <v>0</v>
      </c>
      <c r="AP161" s="492">
        <f t="shared" si="280"/>
        <v>770017</v>
      </c>
      <c r="AQ161" s="492">
        <f t="shared" si="280"/>
        <v>22781</v>
      </c>
      <c r="AR161" s="573">
        <f t="shared" si="280"/>
        <v>0</v>
      </c>
      <c r="AS161" s="609">
        <f>O161+AL161</f>
        <v>5.3999999999999995</v>
      </c>
    </row>
    <row r="162" spans="1:45" ht="14.1" customHeight="1" x14ac:dyDescent="0.2">
      <c r="A162" s="499">
        <v>42</v>
      </c>
      <c r="B162" s="511">
        <v>2482</v>
      </c>
      <c r="C162" s="512">
        <v>600079945</v>
      </c>
      <c r="D162" s="511">
        <v>72741716</v>
      </c>
      <c r="E162" s="510" t="s">
        <v>600</v>
      </c>
      <c r="F162" s="499">
        <v>3143</v>
      </c>
      <c r="G162" s="513" t="s">
        <v>795</v>
      </c>
      <c r="H162" s="495" t="s">
        <v>262</v>
      </c>
      <c r="I162" s="610">
        <v>2238815</v>
      </c>
      <c r="J162" s="14">
        <v>1660842</v>
      </c>
      <c r="K162" s="14">
        <v>0</v>
      </c>
      <c r="L162" s="14">
        <v>561365</v>
      </c>
      <c r="M162" s="14">
        <v>16608</v>
      </c>
      <c r="N162" s="14">
        <v>0</v>
      </c>
      <c r="O162" s="121">
        <v>2.9643000000000002</v>
      </c>
      <c r="P162" s="676">
        <f t="shared" si="244"/>
        <v>0</v>
      </c>
      <c r="Q162" s="492">
        <v>0</v>
      </c>
      <c r="R162" s="492">
        <v>0</v>
      </c>
      <c r="S162" s="492">
        <v>0</v>
      </c>
      <c r="T162" s="492">
        <v>0</v>
      </c>
      <c r="U162" s="492">
        <v>0</v>
      </c>
      <c r="V162" s="492">
        <f>P162+Q162+R162+S162+T162+U162</f>
        <v>0</v>
      </c>
      <c r="W162" s="492">
        <v>0</v>
      </c>
      <c r="X162" s="492">
        <v>0</v>
      </c>
      <c r="Y162" s="492">
        <v>0</v>
      </c>
      <c r="Z162" s="492">
        <f t="shared" si="276"/>
        <v>0</v>
      </c>
      <c r="AA162" s="492">
        <f t="shared" si="277"/>
        <v>0</v>
      </c>
      <c r="AB162" s="494">
        <f t="shared" si="278"/>
        <v>0</v>
      </c>
      <c r="AC162" s="494">
        <f>ROUND(V162*1%,0)</f>
        <v>0</v>
      </c>
      <c r="AD162" s="14">
        <v>0</v>
      </c>
      <c r="AE162" s="753">
        <f t="shared" si="247"/>
        <v>0</v>
      </c>
      <c r="AF162" s="858">
        <v>0</v>
      </c>
      <c r="AG162" s="491">
        <v>0</v>
      </c>
      <c r="AH162" s="491">
        <v>0</v>
      </c>
      <c r="AI162" s="491">
        <v>0</v>
      </c>
      <c r="AJ162" s="491">
        <v>0</v>
      </c>
      <c r="AK162" s="491">
        <v>0</v>
      </c>
      <c r="AL162" s="609">
        <f>SUM(AF162:AK162)</f>
        <v>0</v>
      </c>
      <c r="AM162" s="676">
        <f>I162+AE162</f>
        <v>2238815</v>
      </c>
      <c r="AN162" s="492">
        <f>J162+V162</f>
        <v>1660842</v>
      </c>
      <c r="AO162" s="492">
        <f t="shared" si="279"/>
        <v>0</v>
      </c>
      <c r="AP162" s="492">
        <f t="shared" si="280"/>
        <v>561365</v>
      </c>
      <c r="AQ162" s="492">
        <f t="shared" si="280"/>
        <v>16608</v>
      </c>
      <c r="AR162" s="573">
        <f t="shared" si="280"/>
        <v>0</v>
      </c>
      <c r="AS162" s="609">
        <f>O162+AL162</f>
        <v>2.9643000000000002</v>
      </c>
    </row>
    <row r="163" spans="1:45" ht="14.1" customHeight="1" x14ac:dyDescent="0.2">
      <c r="A163" s="509">
        <v>42</v>
      </c>
      <c r="B163" s="507">
        <v>2482</v>
      </c>
      <c r="C163" s="508">
        <v>600079945</v>
      </c>
      <c r="D163" s="507">
        <v>72741716</v>
      </c>
      <c r="E163" s="505" t="s">
        <v>601</v>
      </c>
      <c r="F163" s="509"/>
      <c r="G163" s="505"/>
      <c r="H163" s="504"/>
      <c r="I163" s="612">
        <v>21440111</v>
      </c>
      <c r="J163" s="503">
        <v>15830767</v>
      </c>
      <c r="K163" s="503">
        <v>74916</v>
      </c>
      <c r="L163" s="503">
        <v>5376121</v>
      </c>
      <c r="M163" s="503">
        <v>158307</v>
      </c>
      <c r="N163" s="503">
        <v>0</v>
      </c>
      <c r="O163" s="837">
        <v>24.101400000000002</v>
      </c>
      <c r="P163" s="612">
        <f t="shared" ref="P163:AS163" si="284">SUM(P159:P162)</f>
        <v>0</v>
      </c>
      <c r="Q163" s="502">
        <f t="shared" si="284"/>
        <v>-19868</v>
      </c>
      <c r="R163" s="502">
        <f t="shared" si="284"/>
        <v>0</v>
      </c>
      <c r="S163" s="502">
        <f t="shared" si="284"/>
        <v>0</v>
      </c>
      <c r="T163" s="502">
        <f t="shared" si="284"/>
        <v>0</v>
      </c>
      <c r="U163" s="502">
        <f t="shared" si="284"/>
        <v>0</v>
      </c>
      <c r="V163" s="502">
        <f t="shared" si="284"/>
        <v>-19868</v>
      </c>
      <c r="W163" s="502">
        <f t="shared" si="284"/>
        <v>0</v>
      </c>
      <c r="X163" s="502">
        <f t="shared" si="284"/>
        <v>0</v>
      </c>
      <c r="Y163" s="502">
        <f t="shared" si="284"/>
        <v>0</v>
      </c>
      <c r="Z163" s="502">
        <f t="shared" si="284"/>
        <v>0</v>
      </c>
      <c r="AA163" s="502">
        <f t="shared" si="284"/>
        <v>-19868</v>
      </c>
      <c r="AB163" s="502">
        <f t="shared" si="284"/>
        <v>-6715</v>
      </c>
      <c r="AC163" s="502">
        <f t="shared" si="284"/>
        <v>-199</v>
      </c>
      <c r="AD163" s="502">
        <f t="shared" si="284"/>
        <v>0</v>
      </c>
      <c r="AE163" s="852">
        <f t="shared" si="284"/>
        <v>-26782</v>
      </c>
      <c r="AF163" s="857">
        <f t="shared" si="284"/>
        <v>0</v>
      </c>
      <c r="AG163" s="848">
        <f t="shared" si="284"/>
        <v>-0.04</v>
      </c>
      <c r="AH163" s="848">
        <f t="shared" si="284"/>
        <v>0</v>
      </c>
      <c r="AI163" s="848">
        <f t="shared" si="284"/>
        <v>0</v>
      </c>
      <c r="AJ163" s="848">
        <f t="shared" si="284"/>
        <v>0</v>
      </c>
      <c r="AK163" s="848">
        <f t="shared" si="284"/>
        <v>0</v>
      </c>
      <c r="AL163" s="613">
        <f t="shared" si="284"/>
        <v>-0.04</v>
      </c>
      <c r="AM163" s="612">
        <f t="shared" si="284"/>
        <v>21413329</v>
      </c>
      <c r="AN163" s="502">
        <f t="shared" si="284"/>
        <v>15810899</v>
      </c>
      <c r="AO163" s="549">
        <f t="shared" si="284"/>
        <v>74916</v>
      </c>
      <c r="AP163" s="502">
        <f t="shared" si="284"/>
        <v>5369406</v>
      </c>
      <c r="AQ163" s="502">
        <f t="shared" si="284"/>
        <v>158108</v>
      </c>
      <c r="AR163" s="502">
        <f t="shared" si="284"/>
        <v>0</v>
      </c>
      <c r="AS163" s="613">
        <f t="shared" si="284"/>
        <v>24.061400000000003</v>
      </c>
    </row>
    <row r="164" spans="1:45" ht="14.1" customHeight="1" x14ac:dyDescent="0.2">
      <c r="A164" s="499">
        <v>43</v>
      </c>
      <c r="B164" s="511">
        <v>2328</v>
      </c>
      <c r="C164" s="512">
        <v>691006041</v>
      </c>
      <c r="D164" s="511">
        <v>71294988</v>
      </c>
      <c r="E164" s="510" t="s">
        <v>602</v>
      </c>
      <c r="F164" s="499">
        <v>3113</v>
      </c>
      <c r="G164" s="510" t="s">
        <v>280</v>
      </c>
      <c r="H164" s="495" t="s">
        <v>262</v>
      </c>
      <c r="I164" s="610">
        <v>29240268</v>
      </c>
      <c r="J164" s="14">
        <v>21691594</v>
      </c>
      <c r="K164" s="14">
        <v>0</v>
      </c>
      <c r="L164" s="14">
        <v>7331758</v>
      </c>
      <c r="M164" s="14">
        <v>216916</v>
      </c>
      <c r="N164" s="14">
        <v>0</v>
      </c>
      <c r="O164" s="121">
        <v>28.636399999999998</v>
      </c>
      <c r="P164" s="676">
        <f t="shared" si="244"/>
        <v>0</v>
      </c>
      <c r="Q164" s="492">
        <v>0</v>
      </c>
      <c r="R164" s="492">
        <v>0</v>
      </c>
      <c r="S164" s="492">
        <v>0</v>
      </c>
      <c r="T164" s="492">
        <v>0</v>
      </c>
      <c r="U164" s="492">
        <v>0</v>
      </c>
      <c r="V164" s="492">
        <f>P164+Q164+R164+S164+T164+U164</f>
        <v>0</v>
      </c>
      <c r="W164" s="492">
        <v>0</v>
      </c>
      <c r="X164" s="492">
        <v>0</v>
      </c>
      <c r="Y164" s="492">
        <v>0</v>
      </c>
      <c r="Z164" s="492">
        <f t="shared" ref="Z164:Z166" si="285">W164+X164+Y164</f>
        <v>0</v>
      </c>
      <c r="AA164" s="492">
        <f t="shared" ref="AA164:AA166" si="286">V164+Z164</f>
        <v>0</v>
      </c>
      <c r="AB164" s="494">
        <f t="shared" ref="AB164:AB166" si="287">ROUND((V164+Z164)*33.8%,0)</f>
        <v>0</v>
      </c>
      <c r="AC164" s="494">
        <f>ROUND(V164*1%,0)</f>
        <v>0</v>
      </c>
      <c r="AD164" s="14">
        <v>0</v>
      </c>
      <c r="AE164" s="753">
        <f t="shared" si="247"/>
        <v>0</v>
      </c>
      <c r="AF164" s="858">
        <v>0</v>
      </c>
      <c r="AG164" s="491">
        <v>0</v>
      </c>
      <c r="AH164" s="491">
        <v>0</v>
      </c>
      <c r="AI164" s="491">
        <v>0</v>
      </c>
      <c r="AJ164" s="491">
        <v>0</v>
      </c>
      <c r="AK164" s="491">
        <v>0</v>
      </c>
      <c r="AL164" s="609">
        <f>SUM(AF164:AK164)</f>
        <v>0</v>
      </c>
      <c r="AM164" s="676">
        <f>I164+AE164</f>
        <v>29240268</v>
      </c>
      <c r="AN164" s="492">
        <f>J164+V164</f>
        <v>21691594</v>
      </c>
      <c r="AO164" s="492">
        <f t="shared" ref="AO164:AO166" si="288">K164+Z164</f>
        <v>0</v>
      </c>
      <c r="AP164" s="492">
        <f t="shared" ref="AP164:AR166" si="289">L164+AB164</f>
        <v>7331758</v>
      </c>
      <c r="AQ164" s="492">
        <f t="shared" si="289"/>
        <v>216916</v>
      </c>
      <c r="AR164" s="573">
        <f t="shared" si="289"/>
        <v>0</v>
      </c>
      <c r="AS164" s="609">
        <f>O164+AL164</f>
        <v>28.636399999999998</v>
      </c>
    </row>
    <row r="165" spans="1:45" ht="14.1" customHeight="1" x14ac:dyDescent="0.2">
      <c r="A165" s="499">
        <v>43</v>
      </c>
      <c r="B165" s="511">
        <v>2328</v>
      </c>
      <c r="C165" s="512">
        <v>691006041</v>
      </c>
      <c r="D165" s="511">
        <v>71294988</v>
      </c>
      <c r="E165" s="510" t="s">
        <v>602</v>
      </c>
      <c r="F165" s="499">
        <v>3113</v>
      </c>
      <c r="G165" s="513" t="s">
        <v>278</v>
      </c>
      <c r="H165" s="495" t="s">
        <v>263</v>
      </c>
      <c r="I165" s="610">
        <v>3765655</v>
      </c>
      <c r="J165" s="490">
        <v>2793513</v>
      </c>
      <c r="K165" s="490">
        <v>0</v>
      </c>
      <c r="L165" s="14">
        <v>944207</v>
      </c>
      <c r="M165" s="14">
        <v>27935</v>
      </c>
      <c r="N165" s="14">
        <v>0</v>
      </c>
      <c r="O165" s="664">
        <v>6.8</v>
      </c>
      <c r="P165" s="676">
        <f t="shared" si="244"/>
        <v>0</v>
      </c>
      <c r="Q165" s="492">
        <v>0</v>
      </c>
      <c r="R165" s="492">
        <v>0</v>
      </c>
      <c r="S165" s="492">
        <v>0</v>
      </c>
      <c r="T165" s="492">
        <v>0</v>
      </c>
      <c r="U165" s="492">
        <v>0</v>
      </c>
      <c r="V165" s="492">
        <f>P165+Q165+R165+S165+T165+U165</f>
        <v>0</v>
      </c>
      <c r="W165" s="492">
        <v>0</v>
      </c>
      <c r="X165" s="492">
        <v>0</v>
      </c>
      <c r="Y165" s="492">
        <v>0</v>
      </c>
      <c r="Z165" s="492">
        <f t="shared" si="285"/>
        <v>0</v>
      </c>
      <c r="AA165" s="492">
        <f t="shared" si="286"/>
        <v>0</v>
      </c>
      <c r="AB165" s="494">
        <f t="shared" si="287"/>
        <v>0</v>
      </c>
      <c r="AC165" s="494">
        <f>ROUND(V165*1%,0)</f>
        <v>0</v>
      </c>
      <c r="AD165" s="14">
        <v>0</v>
      </c>
      <c r="AE165" s="753">
        <f t="shared" si="247"/>
        <v>0</v>
      </c>
      <c r="AF165" s="858">
        <v>0</v>
      </c>
      <c r="AG165" s="491">
        <v>0</v>
      </c>
      <c r="AH165" s="491">
        <v>0</v>
      </c>
      <c r="AI165" s="491">
        <v>0</v>
      </c>
      <c r="AJ165" s="491">
        <v>0</v>
      </c>
      <c r="AK165" s="491">
        <v>0</v>
      </c>
      <c r="AL165" s="609">
        <f>SUM(AF165:AK165)</f>
        <v>0</v>
      </c>
      <c r="AM165" s="676">
        <f>I165+AE165</f>
        <v>3765655</v>
      </c>
      <c r="AN165" s="492">
        <f>J165+V165</f>
        <v>2793513</v>
      </c>
      <c r="AO165" s="492">
        <f t="shared" si="288"/>
        <v>0</v>
      </c>
      <c r="AP165" s="492">
        <f t="shared" si="289"/>
        <v>944207</v>
      </c>
      <c r="AQ165" s="492">
        <f t="shared" si="289"/>
        <v>27935</v>
      </c>
      <c r="AR165" s="573">
        <f t="shared" si="289"/>
        <v>0</v>
      </c>
      <c r="AS165" s="609">
        <f>O165+AL165</f>
        <v>6.8</v>
      </c>
    </row>
    <row r="166" spans="1:45" ht="14.1" customHeight="1" x14ac:dyDescent="0.2">
      <c r="A166" s="499">
        <v>43</v>
      </c>
      <c r="B166" s="511">
        <v>2328</v>
      </c>
      <c r="C166" s="512">
        <v>691006041</v>
      </c>
      <c r="D166" s="511">
        <v>71294988</v>
      </c>
      <c r="E166" s="510" t="s">
        <v>602</v>
      </c>
      <c r="F166" s="499">
        <v>3143</v>
      </c>
      <c r="G166" s="513" t="s">
        <v>794</v>
      </c>
      <c r="H166" s="495" t="s">
        <v>262</v>
      </c>
      <c r="I166" s="610">
        <v>3358118</v>
      </c>
      <c r="J166" s="14">
        <v>2491185</v>
      </c>
      <c r="K166" s="14">
        <v>0</v>
      </c>
      <c r="L166" s="14">
        <v>842021</v>
      </c>
      <c r="M166" s="14">
        <v>24912</v>
      </c>
      <c r="N166" s="14">
        <v>0</v>
      </c>
      <c r="O166" s="121">
        <v>4.7</v>
      </c>
      <c r="P166" s="676">
        <f t="shared" si="244"/>
        <v>0</v>
      </c>
      <c r="Q166" s="492">
        <v>0</v>
      </c>
      <c r="R166" s="492">
        <v>0</v>
      </c>
      <c r="S166" s="492">
        <v>0</v>
      </c>
      <c r="T166" s="492">
        <v>0</v>
      </c>
      <c r="U166" s="492">
        <v>0</v>
      </c>
      <c r="V166" s="492">
        <f>P166+Q166+R166+S166+T166+U166</f>
        <v>0</v>
      </c>
      <c r="W166" s="492">
        <v>0</v>
      </c>
      <c r="X166" s="492">
        <v>0</v>
      </c>
      <c r="Y166" s="492">
        <v>0</v>
      </c>
      <c r="Z166" s="492">
        <f t="shared" si="285"/>
        <v>0</v>
      </c>
      <c r="AA166" s="492">
        <f t="shared" si="286"/>
        <v>0</v>
      </c>
      <c r="AB166" s="494">
        <f t="shared" si="287"/>
        <v>0</v>
      </c>
      <c r="AC166" s="494">
        <f>ROUND(V166*1%,0)</f>
        <v>0</v>
      </c>
      <c r="AD166" s="14">
        <v>0</v>
      </c>
      <c r="AE166" s="753">
        <f t="shared" si="247"/>
        <v>0</v>
      </c>
      <c r="AF166" s="858">
        <v>0</v>
      </c>
      <c r="AG166" s="491">
        <v>0</v>
      </c>
      <c r="AH166" s="491">
        <v>0</v>
      </c>
      <c r="AI166" s="491">
        <v>0</v>
      </c>
      <c r="AJ166" s="491">
        <v>0</v>
      </c>
      <c r="AK166" s="491">
        <v>0</v>
      </c>
      <c r="AL166" s="609">
        <f>SUM(AF166:AK166)</f>
        <v>0</v>
      </c>
      <c r="AM166" s="676">
        <f>I166+AE166</f>
        <v>3358118</v>
      </c>
      <c r="AN166" s="492">
        <f>J166+V166</f>
        <v>2491185</v>
      </c>
      <c r="AO166" s="492">
        <f t="shared" si="288"/>
        <v>0</v>
      </c>
      <c r="AP166" s="492">
        <f t="shared" si="289"/>
        <v>842021</v>
      </c>
      <c r="AQ166" s="492">
        <f t="shared" si="289"/>
        <v>24912</v>
      </c>
      <c r="AR166" s="573">
        <f t="shared" si="289"/>
        <v>0</v>
      </c>
      <c r="AS166" s="609">
        <f>O166+AL166</f>
        <v>4.7</v>
      </c>
    </row>
    <row r="167" spans="1:45" ht="14.1" customHeight="1" x14ac:dyDescent="0.2">
      <c r="A167" s="509">
        <v>43</v>
      </c>
      <c r="B167" s="507">
        <v>2328</v>
      </c>
      <c r="C167" s="508">
        <v>691006041</v>
      </c>
      <c r="D167" s="507">
        <v>71294988</v>
      </c>
      <c r="E167" s="505" t="s">
        <v>603</v>
      </c>
      <c r="F167" s="509"/>
      <c r="G167" s="505"/>
      <c r="H167" s="504"/>
      <c r="I167" s="612">
        <v>36364041</v>
      </c>
      <c r="J167" s="503">
        <v>26976292</v>
      </c>
      <c r="K167" s="503">
        <v>0</v>
      </c>
      <c r="L167" s="503">
        <v>9117986</v>
      </c>
      <c r="M167" s="503">
        <v>269763</v>
      </c>
      <c r="N167" s="503">
        <v>0</v>
      </c>
      <c r="O167" s="837">
        <v>40.136400000000002</v>
      </c>
      <c r="P167" s="612">
        <f t="shared" ref="P167:AS167" si="290">SUM(P164:P166)</f>
        <v>0</v>
      </c>
      <c r="Q167" s="502">
        <f t="shared" si="290"/>
        <v>0</v>
      </c>
      <c r="R167" s="502">
        <f t="shared" si="290"/>
        <v>0</v>
      </c>
      <c r="S167" s="502">
        <f t="shared" si="290"/>
        <v>0</v>
      </c>
      <c r="T167" s="502">
        <f t="shared" si="290"/>
        <v>0</v>
      </c>
      <c r="U167" s="502">
        <f t="shared" si="290"/>
        <v>0</v>
      </c>
      <c r="V167" s="502">
        <f t="shared" si="290"/>
        <v>0</v>
      </c>
      <c r="W167" s="502">
        <f t="shared" si="290"/>
        <v>0</v>
      </c>
      <c r="X167" s="502">
        <f t="shared" si="290"/>
        <v>0</v>
      </c>
      <c r="Y167" s="502">
        <f t="shared" si="290"/>
        <v>0</v>
      </c>
      <c r="Z167" s="502">
        <f t="shared" si="290"/>
        <v>0</v>
      </c>
      <c r="AA167" s="502">
        <f t="shared" si="290"/>
        <v>0</v>
      </c>
      <c r="AB167" s="502">
        <f t="shared" si="290"/>
        <v>0</v>
      </c>
      <c r="AC167" s="502">
        <f t="shared" si="290"/>
        <v>0</v>
      </c>
      <c r="AD167" s="502">
        <f t="shared" si="290"/>
        <v>0</v>
      </c>
      <c r="AE167" s="852">
        <f t="shared" si="290"/>
        <v>0</v>
      </c>
      <c r="AF167" s="857">
        <f t="shared" si="290"/>
        <v>0</v>
      </c>
      <c r="AG167" s="848">
        <f t="shared" si="290"/>
        <v>0</v>
      </c>
      <c r="AH167" s="848">
        <f t="shared" si="290"/>
        <v>0</v>
      </c>
      <c r="AI167" s="848">
        <f t="shared" si="290"/>
        <v>0</v>
      </c>
      <c r="AJ167" s="848">
        <f t="shared" si="290"/>
        <v>0</v>
      </c>
      <c r="AK167" s="848">
        <f t="shared" si="290"/>
        <v>0</v>
      </c>
      <c r="AL167" s="613">
        <f t="shared" si="290"/>
        <v>0</v>
      </c>
      <c r="AM167" s="612">
        <f t="shared" si="290"/>
        <v>36364041</v>
      </c>
      <c r="AN167" s="502">
        <f t="shared" si="290"/>
        <v>26976292</v>
      </c>
      <c r="AO167" s="549">
        <f t="shared" si="290"/>
        <v>0</v>
      </c>
      <c r="AP167" s="502">
        <f t="shared" si="290"/>
        <v>9117986</v>
      </c>
      <c r="AQ167" s="502">
        <f t="shared" si="290"/>
        <v>269763</v>
      </c>
      <c r="AR167" s="502">
        <f t="shared" si="290"/>
        <v>0</v>
      </c>
      <c r="AS167" s="613">
        <f t="shared" si="290"/>
        <v>40.136400000000002</v>
      </c>
    </row>
    <row r="168" spans="1:45" ht="14.1" customHeight="1" x14ac:dyDescent="0.2">
      <c r="A168" s="499">
        <v>44</v>
      </c>
      <c r="B168" s="511">
        <v>2486</v>
      </c>
      <c r="C168" s="512">
        <v>600079970</v>
      </c>
      <c r="D168" s="511">
        <v>46744908</v>
      </c>
      <c r="E168" s="510" t="s">
        <v>604</v>
      </c>
      <c r="F168" s="499">
        <v>3113</v>
      </c>
      <c r="G168" s="510" t="s">
        <v>280</v>
      </c>
      <c r="H168" s="495" t="s">
        <v>262</v>
      </c>
      <c r="I168" s="610">
        <v>19472194</v>
      </c>
      <c r="J168" s="14">
        <v>14231843</v>
      </c>
      <c r="K168" s="14">
        <v>215000</v>
      </c>
      <c r="L168" s="14">
        <v>4883033</v>
      </c>
      <c r="M168" s="14">
        <v>142318</v>
      </c>
      <c r="N168" s="14">
        <v>0</v>
      </c>
      <c r="O168" s="121">
        <v>18.391000000000002</v>
      </c>
      <c r="P168" s="676">
        <f t="shared" si="244"/>
        <v>0</v>
      </c>
      <c r="Q168" s="492">
        <v>0</v>
      </c>
      <c r="R168" s="492">
        <v>0</v>
      </c>
      <c r="S168" s="492">
        <v>0</v>
      </c>
      <c r="T168" s="492">
        <v>0</v>
      </c>
      <c r="U168" s="492">
        <v>0</v>
      </c>
      <c r="V168" s="492">
        <f>P168+Q168+R168+S168+T168+U168</f>
        <v>0</v>
      </c>
      <c r="W168" s="492">
        <v>0</v>
      </c>
      <c r="X168" s="492">
        <v>0</v>
      </c>
      <c r="Y168" s="492">
        <v>0</v>
      </c>
      <c r="Z168" s="492">
        <f t="shared" ref="Z168:Z172" si="291">W168+X168+Y168</f>
        <v>0</v>
      </c>
      <c r="AA168" s="492">
        <f t="shared" ref="AA168:AA172" si="292">V168+Z168</f>
        <v>0</v>
      </c>
      <c r="AB168" s="494">
        <f t="shared" ref="AB168:AB172" si="293">ROUND((V168+Z168)*33.8%,0)</f>
        <v>0</v>
      </c>
      <c r="AC168" s="494">
        <f t="shared" ref="AC168:AC172" si="294">ROUND(V168*1%,0)</f>
        <v>0</v>
      </c>
      <c r="AD168" s="14">
        <v>0</v>
      </c>
      <c r="AE168" s="753">
        <f t="shared" si="247"/>
        <v>0</v>
      </c>
      <c r="AF168" s="858">
        <v>0</v>
      </c>
      <c r="AG168" s="491">
        <v>0</v>
      </c>
      <c r="AH168" s="491">
        <v>0</v>
      </c>
      <c r="AI168" s="491">
        <v>0</v>
      </c>
      <c r="AJ168" s="491">
        <v>0</v>
      </c>
      <c r="AK168" s="491">
        <v>0</v>
      </c>
      <c r="AL168" s="609">
        <f>SUM(AF168:AK168)</f>
        <v>0</v>
      </c>
      <c r="AM168" s="676">
        <f>I168+AE168</f>
        <v>19472194</v>
      </c>
      <c r="AN168" s="492">
        <f>J168+V168</f>
        <v>14231843</v>
      </c>
      <c r="AO168" s="492">
        <f t="shared" ref="AO168:AO172" si="295">K168+Z168</f>
        <v>215000</v>
      </c>
      <c r="AP168" s="492">
        <f t="shared" ref="AP168:AR172" si="296">L168+AB168</f>
        <v>4883033</v>
      </c>
      <c r="AQ168" s="492">
        <f t="shared" si="296"/>
        <v>142318</v>
      </c>
      <c r="AR168" s="573">
        <f t="shared" si="296"/>
        <v>0</v>
      </c>
      <c r="AS168" s="609">
        <f>O168+AL168</f>
        <v>18.391000000000002</v>
      </c>
    </row>
    <row r="169" spans="1:45" ht="14.1" customHeight="1" x14ac:dyDescent="0.2">
      <c r="A169" s="499">
        <v>44</v>
      </c>
      <c r="B169" s="511">
        <v>2486</v>
      </c>
      <c r="C169" s="512">
        <v>600079970</v>
      </c>
      <c r="D169" s="511">
        <v>46744908</v>
      </c>
      <c r="E169" s="510" t="s">
        <v>604</v>
      </c>
      <c r="F169" s="499">
        <v>3113</v>
      </c>
      <c r="G169" s="510" t="s">
        <v>799</v>
      </c>
      <c r="H169" s="495" t="s">
        <v>262</v>
      </c>
      <c r="I169" s="610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21">
        <v>0</v>
      </c>
      <c r="P169" s="676">
        <f t="shared" ref="P169" si="297">W169*-1</f>
        <v>0</v>
      </c>
      <c r="Q169" s="492">
        <v>0</v>
      </c>
      <c r="R169" s="492">
        <v>0</v>
      </c>
      <c r="S169" s="492">
        <v>206546</v>
      </c>
      <c r="T169" s="492">
        <v>0</v>
      </c>
      <c r="U169" s="492">
        <v>0</v>
      </c>
      <c r="V169" s="492">
        <f>P169+Q169+R169+S169+T169+U169</f>
        <v>206546</v>
      </c>
      <c r="W169" s="492">
        <v>0</v>
      </c>
      <c r="X169" s="492">
        <v>0</v>
      </c>
      <c r="Y169" s="492">
        <v>0</v>
      </c>
      <c r="Z169" s="492">
        <f t="shared" ref="Z169" si="298">W169+X169+Y169</f>
        <v>0</v>
      </c>
      <c r="AA169" s="492">
        <f t="shared" ref="AA169" si="299">V169+Z169</f>
        <v>206546</v>
      </c>
      <c r="AB169" s="494">
        <f t="shared" ref="AB169" si="300">ROUND((V169+Z169)*33.8%,0)</f>
        <v>69813</v>
      </c>
      <c r="AC169" s="494">
        <f t="shared" ref="AC169" si="301">ROUND(V169*1%,0)</f>
        <v>2065</v>
      </c>
      <c r="AD169" s="14">
        <v>0</v>
      </c>
      <c r="AE169" s="753">
        <f t="shared" ref="AE169" si="302">AA169+AB169+AC169+AD169</f>
        <v>278424</v>
      </c>
      <c r="AF169" s="858">
        <v>0</v>
      </c>
      <c r="AG169" s="491">
        <v>0</v>
      </c>
      <c r="AH169" s="491">
        <v>0.37</v>
      </c>
      <c r="AI169" s="491">
        <v>0</v>
      </c>
      <c r="AJ169" s="491">
        <v>0</v>
      </c>
      <c r="AK169" s="491">
        <v>0</v>
      </c>
      <c r="AL169" s="609">
        <f>SUM(AF169:AK169)</f>
        <v>0.37</v>
      </c>
      <c r="AM169" s="676">
        <f>I169+AE169</f>
        <v>278424</v>
      </c>
      <c r="AN169" s="492">
        <f>J169+V169</f>
        <v>206546</v>
      </c>
      <c r="AO169" s="492">
        <f t="shared" ref="AO169" si="303">K169+Z169</f>
        <v>0</v>
      </c>
      <c r="AP169" s="492">
        <f t="shared" ref="AP169" si="304">L169+AB169</f>
        <v>69813</v>
      </c>
      <c r="AQ169" s="492">
        <f t="shared" ref="AQ169" si="305">M169+AC169</f>
        <v>2065</v>
      </c>
      <c r="AR169" s="573">
        <f t="shared" ref="AR169" si="306">N169+AD169</f>
        <v>0</v>
      </c>
      <c r="AS169" s="609">
        <f>O169+AL169</f>
        <v>0.37</v>
      </c>
    </row>
    <row r="170" spans="1:45" ht="14.1" customHeight="1" x14ac:dyDescent="0.2">
      <c r="A170" s="499">
        <v>44</v>
      </c>
      <c r="B170" s="511">
        <v>2486</v>
      </c>
      <c r="C170" s="512">
        <v>600079970</v>
      </c>
      <c r="D170" s="511">
        <v>46744908</v>
      </c>
      <c r="E170" s="510" t="s">
        <v>604</v>
      </c>
      <c r="F170" s="499">
        <v>3113</v>
      </c>
      <c r="G170" s="513" t="s">
        <v>278</v>
      </c>
      <c r="H170" s="495" t="s">
        <v>263</v>
      </c>
      <c r="I170" s="610">
        <v>2140047</v>
      </c>
      <c r="J170" s="490">
        <v>1587572</v>
      </c>
      <c r="K170" s="490">
        <v>0</v>
      </c>
      <c r="L170" s="14">
        <v>536599</v>
      </c>
      <c r="M170" s="14">
        <v>15876</v>
      </c>
      <c r="N170" s="14">
        <v>0</v>
      </c>
      <c r="O170" s="664">
        <v>3.92</v>
      </c>
      <c r="P170" s="676">
        <f t="shared" si="244"/>
        <v>0</v>
      </c>
      <c r="Q170" s="492">
        <v>0</v>
      </c>
      <c r="R170" s="492">
        <v>0</v>
      </c>
      <c r="S170" s="492">
        <v>0</v>
      </c>
      <c r="T170" s="492">
        <v>0</v>
      </c>
      <c r="U170" s="492">
        <v>0</v>
      </c>
      <c r="V170" s="492">
        <f>P170+Q170+R170+S170+T170+U170</f>
        <v>0</v>
      </c>
      <c r="W170" s="492">
        <v>0</v>
      </c>
      <c r="X170" s="492">
        <v>0</v>
      </c>
      <c r="Y170" s="492">
        <v>0</v>
      </c>
      <c r="Z170" s="492">
        <f t="shared" si="291"/>
        <v>0</v>
      </c>
      <c r="AA170" s="492">
        <f t="shared" si="292"/>
        <v>0</v>
      </c>
      <c r="AB170" s="494">
        <f t="shared" si="293"/>
        <v>0</v>
      </c>
      <c r="AC170" s="494">
        <f t="shared" si="294"/>
        <v>0</v>
      </c>
      <c r="AD170" s="14">
        <v>0</v>
      </c>
      <c r="AE170" s="753">
        <f t="shared" si="247"/>
        <v>0</v>
      </c>
      <c r="AF170" s="858">
        <v>0</v>
      </c>
      <c r="AG170" s="491">
        <v>0</v>
      </c>
      <c r="AH170" s="491">
        <v>0</v>
      </c>
      <c r="AI170" s="491">
        <v>0</v>
      </c>
      <c r="AJ170" s="491">
        <v>0</v>
      </c>
      <c r="AK170" s="491">
        <v>0</v>
      </c>
      <c r="AL170" s="609">
        <f>SUM(AF170:AK170)</f>
        <v>0</v>
      </c>
      <c r="AM170" s="676">
        <f>I170+AE170</f>
        <v>2140047</v>
      </c>
      <c r="AN170" s="492">
        <f>J170+V170</f>
        <v>1587572</v>
      </c>
      <c r="AO170" s="492">
        <f t="shared" si="295"/>
        <v>0</v>
      </c>
      <c r="AP170" s="492">
        <f t="shared" si="296"/>
        <v>536599</v>
      </c>
      <c r="AQ170" s="492">
        <f t="shared" si="296"/>
        <v>15876</v>
      </c>
      <c r="AR170" s="573">
        <f t="shared" si="296"/>
        <v>0</v>
      </c>
      <c r="AS170" s="609">
        <f>O170+AL170</f>
        <v>3.92</v>
      </c>
    </row>
    <row r="171" spans="1:45" ht="14.1" customHeight="1" x14ac:dyDescent="0.2">
      <c r="A171" s="499">
        <v>44</v>
      </c>
      <c r="B171" s="511">
        <v>2486</v>
      </c>
      <c r="C171" s="512">
        <v>600079970</v>
      </c>
      <c r="D171" s="511">
        <v>46744908</v>
      </c>
      <c r="E171" s="510" t="s">
        <v>604</v>
      </c>
      <c r="F171" s="499">
        <v>3143</v>
      </c>
      <c r="G171" s="513" t="s">
        <v>794</v>
      </c>
      <c r="H171" s="495" t="s">
        <v>262</v>
      </c>
      <c r="I171" s="610">
        <v>2233701</v>
      </c>
      <c r="J171" s="14">
        <v>1642159</v>
      </c>
      <c r="K171" s="14">
        <v>15000</v>
      </c>
      <c r="L171" s="14">
        <v>560120</v>
      </c>
      <c r="M171" s="14">
        <v>16422</v>
      </c>
      <c r="N171" s="14">
        <v>0</v>
      </c>
      <c r="O171" s="121">
        <v>3</v>
      </c>
      <c r="P171" s="676">
        <f t="shared" si="244"/>
        <v>0</v>
      </c>
      <c r="Q171" s="492">
        <v>0</v>
      </c>
      <c r="R171" s="492">
        <v>0</v>
      </c>
      <c r="S171" s="492">
        <v>0</v>
      </c>
      <c r="T171" s="492">
        <v>0</v>
      </c>
      <c r="U171" s="492">
        <v>0</v>
      </c>
      <c r="V171" s="492">
        <f>P171+Q171+R171+S171+T171+U171</f>
        <v>0</v>
      </c>
      <c r="W171" s="492">
        <v>0</v>
      </c>
      <c r="X171" s="492">
        <v>0</v>
      </c>
      <c r="Y171" s="492">
        <v>0</v>
      </c>
      <c r="Z171" s="492">
        <f t="shared" si="291"/>
        <v>0</v>
      </c>
      <c r="AA171" s="492">
        <f t="shared" si="292"/>
        <v>0</v>
      </c>
      <c r="AB171" s="494">
        <f t="shared" si="293"/>
        <v>0</v>
      </c>
      <c r="AC171" s="494">
        <f t="shared" si="294"/>
        <v>0</v>
      </c>
      <c r="AD171" s="14">
        <v>0</v>
      </c>
      <c r="AE171" s="753">
        <f t="shared" si="247"/>
        <v>0</v>
      </c>
      <c r="AF171" s="858">
        <v>0</v>
      </c>
      <c r="AG171" s="491">
        <v>0</v>
      </c>
      <c r="AH171" s="491">
        <v>0</v>
      </c>
      <c r="AI171" s="491">
        <v>0</v>
      </c>
      <c r="AJ171" s="491">
        <v>0</v>
      </c>
      <c r="AK171" s="491">
        <v>0</v>
      </c>
      <c r="AL171" s="609">
        <f>SUM(AF171:AK171)</f>
        <v>0</v>
      </c>
      <c r="AM171" s="676">
        <f>I171+AE171</f>
        <v>2233701</v>
      </c>
      <c r="AN171" s="492">
        <f>J171+V171</f>
        <v>1642159</v>
      </c>
      <c r="AO171" s="492">
        <f t="shared" si="295"/>
        <v>15000</v>
      </c>
      <c r="AP171" s="492">
        <f t="shared" si="296"/>
        <v>560120</v>
      </c>
      <c r="AQ171" s="492">
        <f t="shared" si="296"/>
        <v>16422</v>
      </c>
      <c r="AR171" s="573">
        <f t="shared" si="296"/>
        <v>0</v>
      </c>
      <c r="AS171" s="609">
        <f>O171+AL171</f>
        <v>3</v>
      </c>
    </row>
    <row r="172" spans="1:45" ht="14.1" customHeight="1" x14ac:dyDescent="0.2">
      <c r="A172" s="499">
        <v>44</v>
      </c>
      <c r="B172" s="511">
        <v>2486</v>
      </c>
      <c r="C172" s="512">
        <v>600079970</v>
      </c>
      <c r="D172" s="511">
        <v>46744908</v>
      </c>
      <c r="E172" s="510" t="s">
        <v>604</v>
      </c>
      <c r="F172" s="499">
        <v>3233</v>
      </c>
      <c r="G172" s="510" t="s">
        <v>283</v>
      </c>
      <c r="H172" s="495" t="s">
        <v>263</v>
      </c>
      <c r="I172" s="610">
        <v>280454</v>
      </c>
      <c r="J172" s="490">
        <v>108794</v>
      </c>
      <c r="K172" s="490">
        <v>100000</v>
      </c>
      <c r="L172" s="14">
        <v>70572</v>
      </c>
      <c r="M172" s="14">
        <v>1088</v>
      </c>
      <c r="N172" s="14">
        <v>0</v>
      </c>
      <c r="O172" s="664">
        <v>0.17999999999999997</v>
      </c>
      <c r="P172" s="676">
        <f t="shared" si="244"/>
        <v>0</v>
      </c>
      <c r="Q172" s="492">
        <v>0</v>
      </c>
      <c r="R172" s="492">
        <v>0</v>
      </c>
      <c r="S172" s="492">
        <v>0</v>
      </c>
      <c r="T172" s="492">
        <v>0</v>
      </c>
      <c r="U172" s="492">
        <v>0</v>
      </c>
      <c r="V172" s="492">
        <f>P172+Q172+R172+S172+T172+U172</f>
        <v>0</v>
      </c>
      <c r="W172" s="492">
        <v>0</v>
      </c>
      <c r="X172" s="492">
        <v>0</v>
      </c>
      <c r="Y172" s="492">
        <v>0</v>
      </c>
      <c r="Z172" s="492">
        <f t="shared" si="291"/>
        <v>0</v>
      </c>
      <c r="AA172" s="492">
        <f t="shared" si="292"/>
        <v>0</v>
      </c>
      <c r="AB172" s="494">
        <f t="shared" si="293"/>
        <v>0</v>
      </c>
      <c r="AC172" s="494">
        <f t="shared" si="294"/>
        <v>0</v>
      </c>
      <c r="AD172" s="14">
        <v>0</v>
      </c>
      <c r="AE172" s="753">
        <f t="shared" si="247"/>
        <v>0</v>
      </c>
      <c r="AF172" s="858">
        <v>0</v>
      </c>
      <c r="AG172" s="491">
        <v>0</v>
      </c>
      <c r="AH172" s="491">
        <v>0</v>
      </c>
      <c r="AI172" s="491">
        <v>0</v>
      </c>
      <c r="AJ172" s="491">
        <v>0</v>
      </c>
      <c r="AK172" s="491">
        <v>0</v>
      </c>
      <c r="AL172" s="609">
        <f>SUM(AF172:AK172)</f>
        <v>0</v>
      </c>
      <c r="AM172" s="676">
        <f>I172+AE172</f>
        <v>280454</v>
      </c>
      <c r="AN172" s="492">
        <f>J172+V172</f>
        <v>108794</v>
      </c>
      <c r="AO172" s="492">
        <f t="shared" si="295"/>
        <v>100000</v>
      </c>
      <c r="AP172" s="492">
        <f t="shared" si="296"/>
        <v>70572</v>
      </c>
      <c r="AQ172" s="492">
        <f t="shared" si="296"/>
        <v>1088</v>
      </c>
      <c r="AR172" s="573">
        <f t="shared" si="296"/>
        <v>0</v>
      </c>
      <c r="AS172" s="609">
        <f>O172+AL172</f>
        <v>0.17999999999999997</v>
      </c>
    </row>
    <row r="173" spans="1:45" ht="14.1" customHeight="1" x14ac:dyDescent="0.2">
      <c r="A173" s="509">
        <v>44</v>
      </c>
      <c r="B173" s="507">
        <v>2486</v>
      </c>
      <c r="C173" s="508">
        <v>600079970</v>
      </c>
      <c r="D173" s="507">
        <v>46744908</v>
      </c>
      <c r="E173" s="505" t="s">
        <v>605</v>
      </c>
      <c r="F173" s="509"/>
      <c r="G173" s="505"/>
      <c r="H173" s="504"/>
      <c r="I173" s="612">
        <v>24126396</v>
      </c>
      <c r="J173" s="503">
        <v>17570368</v>
      </c>
      <c r="K173" s="503">
        <v>330000</v>
      </c>
      <c r="L173" s="503">
        <v>6050324</v>
      </c>
      <c r="M173" s="503">
        <v>175704</v>
      </c>
      <c r="N173" s="503">
        <v>0</v>
      </c>
      <c r="O173" s="837">
        <v>25.491</v>
      </c>
      <c r="P173" s="612">
        <f t="shared" ref="P173:AS173" si="307">SUM(P168:P172)</f>
        <v>0</v>
      </c>
      <c r="Q173" s="502">
        <f t="shared" si="307"/>
        <v>0</v>
      </c>
      <c r="R173" s="502">
        <f t="shared" si="307"/>
        <v>0</v>
      </c>
      <c r="S173" s="502">
        <f t="shared" si="307"/>
        <v>206546</v>
      </c>
      <c r="T173" s="502">
        <f t="shared" si="307"/>
        <v>0</v>
      </c>
      <c r="U173" s="502">
        <f t="shared" si="307"/>
        <v>0</v>
      </c>
      <c r="V173" s="502">
        <f t="shared" si="307"/>
        <v>206546</v>
      </c>
      <c r="W173" s="502">
        <f t="shared" si="307"/>
        <v>0</v>
      </c>
      <c r="X173" s="502">
        <f t="shared" si="307"/>
        <v>0</v>
      </c>
      <c r="Y173" s="502">
        <f t="shared" si="307"/>
        <v>0</v>
      </c>
      <c r="Z173" s="502">
        <f t="shared" si="307"/>
        <v>0</v>
      </c>
      <c r="AA173" s="502">
        <f t="shared" si="307"/>
        <v>206546</v>
      </c>
      <c r="AB173" s="502">
        <f t="shared" si="307"/>
        <v>69813</v>
      </c>
      <c r="AC173" s="502">
        <f t="shared" si="307"/>
        <v>2065</v>
      </c>
      <c r="AD173" s="502">
        <f t="shared" si="307"/>
        <v>0</v>
      </c>
      <c r="AE173" s="852">
        <f t="shared" si="307"/>
        <v>278424</v>
      </c>
      <c r="AF173" s="857">
        <f t="shared" si="307"/>
        <v>0</v>
      </c>
      <c r="AG173" s="848">
        <f t="shared" si="307"/>
        <v>0</v>
      </c>
      <c r="AH173" s="848">
        <f t="shared" si="307"/>
        <v>0.37</v>
      </c>
      <c r="AI173" s="848">
        <f t="shared" si="307"/>
        <v>0</v>
      </c>
      <c r="AJ173" s="848">
        <f t="shared" si="307"/>
        <v>0</v>
      </c>
      <c r="AK173" s="848">
        <f t="shared" si="307"/>
        <v>0</v>
      </c>
      <c r="AL173" s="613">
        <f t="shared" si="307"/>
        <v>0.37</v>
      </c>
      <c r="AM173" s="612">
        <f t="shared" si="307"/>
        <v>24404820</v>
      </c>
      <c r="AN173" s="502">
        <f t="shared" si="307"/>
        <v>17776914</v>
      </c>
      <c r="AO173" s="549">
        <f t="shared" si="307"/>
        <v>330000</v>
      </c>
      <c r="AP173" s="502">
        <f t="shared" si="307"/>
        <v>6120137</v>
      </c>
      <c r="AQ173" s="502">
        <f t="shared" si="307"/>
        <v>177769</v>
      </c>
      <c r="AR173" s="502">
        <f t="shared" si="307"/>
        <v>0</v>
      </c>
      <c r="AS173" s="613">
        <f t="shared" si="307"/>
        <v>25.861000000000004</v>
      </c>
    </row>
    <row r="174" spans="1:45" ht="14.1" customHeight="1" x14ac:dyDescent="0.2">
      <c r="A174" s="499">
        <v>45</v>
      </c>
      <c r="B174" s="511">
        <v>2487</v>
      </c>
      <c r="C174" s="512">
        <v>600079996</v>
      </c>
      <c r="D174" s="511">
        <v>68974639</v>
      </c>
      <c r="E174" s="510" t="s">
        <v>606</v>
      </c>
      <c r="F174" s="499">
        <v>3113</v>
      </c>
      <c r="G174" s="510" t="s">
        <v>280</v>
      </c>
      <c r="H174" s="495" t="s">
        <v>262</v>
      </c>
      <c r="I174" s="610">
        <v>27562504</v>
      </c>
      <c r="J174" s="14">
        <v>20397332</v>
      </c>
      <c r="K174" s="14">
        <v>50000</v>
      </c>
      <c r="L174" s="14">
        <v>6911198</v>
      </c>
      <c r="M174" s="14">
        <v>203974</v>
      </c>
      <c r="N174" s="14">
        <v>0</v>
      </c>
      <c r="O174" s="121">
        <v>27.5411</v>
      </c>
      <c r="P174" s="676">
        <f t="shared" si="244"/>
        <v>0</v>
      </c>
      <c r="Q174" s="492">
        <v>0</v>
      </c>
      <c r="R174" s="492">
        <v>0</v>
      </c>
      <c r="S174" s="492">
        <v>0</v>
      </c>
      <c r="T174" s="492">
        <v>0</v>
      </c>
      <c r="U174" s="492">
        <v>0</v>
      </c>
      <c r="V174" s="492">
        <f>P174+Q174+R174+S174+T174+U174</f>
        <v>0</v>
      </c>
      <c r="W174" s="492">
        <v>0</v>
      </c>
      <c r="X174" s="492">
        <v>0</v>
      </c>
      <c r="Y174" s="492">
        <v>0</v>
      </c>
      <c r="Z174" s="492">
        <f t="shared" ref="Z174:Z177" si="308">W174+X174+Y174</f>
        <v>0</v>
      </c>
      <c r="AA174" s="492">
        <f t="shared" ref="AA174:AA177" si="309">V174+Z174</f>
        <v>0</v>
      </c>
      <c r="AB174" s="494">
        <f t="shared" ref="AB174:AB177" si="310">ROUND((V174+Z174)*33.8%,0)</f>
        <v>0</v>
      </c>
      <c r="AC174" s="494">
        <f>ROUND(V174*1%,0)</f>
        <v>0</v>
      </c>
      <c r="AD174" s="14">
        <v>0</v>
      </c>
      <c r="AE174" s="753">
        <f t="shared" si="247"/>
        <v>0</v>
      </c>
      <c r="AF174" s="858">
        <v>0</v>
      </c>
      <c r="AG174" s="491">
        <v>0</v>
      </c>
      <c r="AH174" s="491">
        <v>0</v>
      </c>
      <c r="AI174" s="491">
        <v>0</v>
      </c>
      <c r="AJ174" s="491">
        <v>0</v>
      </c>
      <c r="AK174" s="491">
        <v>0</v>
      </c>
      <c r="AL174" s="609">
        <f>SUM(AF174:AK174)</f>
        <v>0</v>
      </c>
      <c r="AM174" s="676">
        <f>I174+AE174</f>
        <v>27562504</v>
      </c>
      <c r="AN174" s="492">
        <f>J174+V174</f>
        <v>20397332</v>
      </c>
      <c r="AO174" s="492">
        <f t="shared" ref="AO174:AO177" si="311">K174+Z174</f>
        <v>50000</v>
      </c>
      <c r="AP174" s="492">
        <f t="shared" ref="AP174:AR177" si="312">L174+AB174</f>
        <v>6911198</v>
      </c>
      <c r="AQ174" s="492">
        <f t="shared" si="312"/>
        <v>203974</v>
      </c>
      <c r="AR174" s="573">
        <f t="shared" si="312"/>
        <v>0</v>
      </c>
      <c r="AS174" s="609">
        <f>O174+AL174</f>
        <v>27.5411</v>
      </c>
    </row>
    <row r="175" spans="1:45" ht="14.1" customHeight="1" x14ac:dyDescent="0.2">
      <c r="A175" s="499">
        <v>45</v>
      </c>
      <c r="B175" s="511">
        <v>2487</v>
      </c>
      <c r="C175" s="512">
        <v>600079996</v>
      </c>
      <c r="D175" s="511">
        <v>68974639</v>
      </c>
      <c r="E175" s="510" t="s">
        <v>606</v>
      </c>
      <c r="F175" s="499">
        <v>3113</v>
      </c>
      <c r="G175" s="510" t="s">
        <v>799</v>
      </c>
      <c r="H175" s="495" t="s">
        <v>262</v>
      </c>
      <c r="I175" s="610">
        <v>575464</v>
      </c>
      <c r="J175" s="14">
        <v>426902</v>
      </c>
      <c r="K175" s="14">
        <v>0</v>
      </c>
      <c r="L175" s="14">
        <v>144293</v>
      </c>
      <c r="M175" s="14">
        <v>4269</v>
      </c>
      <c r="N175" s="14">
        <v>0</v>
      </c>
      <c r="O175" s="121">
        <v>0.8</v>
      </c>
      <c r="P175" s="676">
        <f t="shared" si="244"/>
        <v>0</v>
      </c>
      <c r="Q175" s="492">
        <v>0</v>
      </c>
      <c r="R175" s="492">
        <v>0</v>
      </c>
      <c r="S175" s="492">
        <v>0</v>
      </c>
      <c r="T175" s="492">
        <v>0</v>
      </c>
      <c r="U175" s="492">
        <v>0</v>
      </c>
      <c r="V175" s="492">
        <f>P175+Q175+R175+S175+T175+U175</f>
        <v>0</v>
      </c>
      <c r="W175" s="492">
        <v>0</v>
      </c>
      <c r="X175" s="492">
        <v>0</v>
      </c>
      <c r="Y175" s="492">
        <v>0</v>
      </c>
      <c r="Z175" s="492">
        <f t="shared" ref="Z175" si="313">W175+X175+Y175</f>
        <v>0</v>
      </c>
      <c r="AA175" s="492">
        <f t="shared" ref="AA175" si="314">V175+Z175</f>
        <v>0</v>
      </c>
      <c r="AB175" s="494">
        <f t="shared" ref="AB175" si="315">ROUND((V175+Z175)*33.8%,0)</f>
        <v>0</v>
      </c>
      <c r="AC175" s="494">
        <f>ROUND(V175*1%,0)</f>
        <v>0</v>
      </c>
      <c r="AD175" s="14">
        <v>0</v>
      </c>
      <c r="AE175" s="753">
        <f t="shared" si="247"/>
        <v>0</v>
      </c>
      <c r="AF175" s="858">
        <v>0</v>
      </c>
      <c r="AG175" s="491">
        <v>0</v>
      </c>
      <c r="AH175" s="491">
        <v>0</v>
      </c>
      <c r="AI175" s="491">
        <v>0</v>
      </c>
      <c r="AJ175" s="491">
        <v>0</v>
      </c>
      <c r="AK175" s="491">
        <v>0</v>
      </c>
      <c r="AL175" s="609">
        <f>SUM(AF175:AK175)</f>
        <v>0</v>
      </c>
      <c r="AM175" s="676">
        <f>I175+AE175</f>
        <v>575464</v>
      </c>
      <c r="AN175" s="492">
        <f>J175+V175</f>
        <v>426902</v>
      </c>
      <c r="AO175" s="492">
        <f t="shared" si="311"/>
        <v>0</v>
      </c>
      <c r="AP175" s="492">
        <f t="shared" si="312"/>
        <v>144293</v>
      </c>
      <c r="AQ175" s="492">
        <f t="shared" si="312"/>
        <v>4269</v>
      </c>
      <c r="AR175" s="573">
        <f t="shared" si="312"/>
        <v>0</v>
      </c>
      <c r="AS175" s="609">
        <f>O175+AL175</f>
        <v>0.8</v>
      </c>
    </row>
    <row r="176" spans="1:45" ht="14.1" customHeight="1" x14ac:dyDescent="0.2">
      <c r="A176" s="499">
        <v>45</v>
      </c>
      <c r="B176" s="511">
        <v>2487</v>
      </c>
      <c r="C176" s="512">
        <v>600079996</v>
      </c>
      <c r="D176" s="511">
        <v>68974639</v>
      </c>
      <c r="E176" s="510" t="s">
        <v>606</v>
      </c>
      <c r="F176" s="499">
        <v>3113</v>
      </c>
      <c r="G176" s="513" t="s">
        <v>278</v>
      </c>
      <c r="H176" s="495" t="s">
        <v>263</v>
      </c>
      <c r="I176" s="610">
        <v>2665901</v>
      </c>
      <c r="J176" s="490">
        <v>1977671</v>
      </c>
      <c r="K176" s="490">
        <v>0</v>
      </c>
      <c r="L176" s="14">
        <v>668453</v>
      </c>
      <c r="M176" s="14">
        <v>19777</v>
      </c>
      <c r="N176" s="14">
        <v>0</v>
      </c>
      <c r="O176" s="664">
        <v>4.97</v>
      </c>
      <c r="P176" s="676">
        <f t="shared" si="244"/>
        <v>0</v>
      </c>
      <c r="Q176" s="492">
        <v>0</v>
      </c>
      <c r="R176" s="492">
        <v>0</v>
      </c>
      <c r="S176" s="492">
        <v>0</v>
      </c>
      <c r="T176" s="492">
        <v>0</v>
      </c>
      <c r="U176" s="492">
        <v>0</v>
      </c>
      <c r="V176" s="492">
        <f>P176+Q176+R176+S176+T176+U176</f>
        <v>0</v>
      </c>
      <c r="W176" s="492">
        <v>0</v>
      </c>
      <c r="X176" s="492">
        <v>0</v>
      </c>
      <c r="Y176" s="492">
        <v>0</v>
      </c>
      <c r="Z176" s="492">
        <f t="shared" si="308"/>
        <v>0</v>
      </c>
      <c r="AA176" s="492">
        <f t="shared" si="309"/>
        <v>0</v>
      </c>
      <c r="AB176" s="494">
        <f t="shared" si="310"/>
        <v>0</v>
      </c>
      <c r="AC176" s="494">
        <f>ROUND(V176*1%,0)</f>
        <v>0</v>
      </c>
      <c r="AD176" s="14">
        <v>0</v>
      </c>
      <c r="AE176" s="753">
        <f t="shared" si="247"/>
        <v>0</v>
      </c>
      <c r="AF176" s="858">
        <v>0</v>
      </c>
      <c r="AG176" s="491">
        <v>0</v>
      </c>
      <c r="AH176" s="491">
        <v>0</v>
      </c>
      <c r="AI176" s="491">
        <v>0</v>
      </c>
      <c r="AJ176" s="491">
        <v>0</v>
      </c>
      <c r="AK176" s="491">
        <v>0</v>
      </c>
      <c r="AL176" s="609">
        <f>SUM(AF176:AK176)</f>
        <v>0</v>
      </c>
      <c r="AM176" s="676">
        <f>I176+AE176</f>
        <v>2665901</v>
      </c>
      <c r="AN176" s="492">
        <f>J176+V176</f>
        <v>1977671</v>
      </c>
      <c r="AO176" s="492">
        <f t="shared" si="311"/>
        <v>0</v>
      </c>
      <c r="AP176" s="492">
        <f t="shared" si="312"/>
        <v>668453</v>
      </c>
      <c r="AQ176" s="492">
        <f t="shared" si="312"/>
        <v>19777</v>
      </c>
      <c r="AR176" s="573">
        <f t="shared" si="312"/>
        <v>0</v>
      </c>
      <c r="AS176" s="609">
        <f>O176+AL176</f>
        <v>4.97</v>
      </c>
    </row>
    <row r="177" spans="1:45" ht="14.1" customHeight="1" x14ac:dyDescent="0.2">
      <c r="A177" s="499">
        <v>45</v>
      </c>
      <c r="B177" s="511">
        <v>2487</v>
      </c>
      <c r="C177" s="512">
        <v>600079996</v>
      </c>
      <c r="D177" s="511">
        <v>68974639</v>
      </c>
      <c r="E177" s="510" t="s">
        <v>606</v>
      </c>
      <c r="F177" s="499">
        <v>3143</v>
      </c>
      <c r="G177" s="513" t="s">
        <v>794</v>
      </c>
      <c r="H177" s="495" t="s">
        <v>262</v>
      </c>
      <c r="I177" s="610">
        <v>2571647</v>
      </c>
      <c r="J177" s="14">
        <v>1897824</v>
      </c>
      <c r="K177" s="14">
        <v>10000</v>
      </c>
      <c r="L177" s="14">
        <v>644845</v>
      </c>
      <c r="M177" s="14">
        <v>18978</v>
      </c>
      <c r="N177" s="14">
        <v>0</v>
      </c>
      <c r="O177" s="121">
        <v>3.5436000000000001</v>
      </c>
      <c r="P177" s="676">
        <f t="shared" si="244"/>
        <v>0</v>
      </c>
      <c r="Q177" s="492">
        <v>0</v>
      </c>
      <c r="R177" s="492">
        <v>0</v>
      </c>
      <c r="S177" s="492">
        <v>0</v>
      </c>
      <c r="T177" s="492">
        <v>0</v>
      </c>
      <c r="U177" s="492">
        <v>0</v>
      </c>
      <c r="V177" s="492">
        <f>P177+Q177+R177+S177+T177+U177</f>
        <v>0</v>
      </c>
      <c r="W177" s="492">
        <v>0</v>
      </c>
      <c r="X177" s="492">
        <v>0</v>
      </c>
      <c r="Y177" s="492">
        <v>0</v>
      </c>
      <c r="Z177" s="492">
        <f t="shared" si="308"/>
        <v>0</v>
      </c>
      <c r="AA177" s="492">
        <f t="shared" si="309"/>
        <v>0</v>
      </c>
      <c r="AB177" s="494">
        <f t="shared" si="310"/>
        <v>0</v>
      </c>
      <c r="AC177" s="494">
        <f>ROUND(V177*1%,0)</f>
        <v>0</v>
      </c>
      <c r="AD177" s="14">
        <v>0</v>
      </c>
      <c r="AE177" s="753">
        <f t="shared" si="247"/>
        <v>0</v>
      </c>
      <c r="AF177" s="858">
        <v>0</v>
      </c>
      <c r="AG177" s="491">
        <v>0</v>
      </c>
      <c r="AH177" s="491">
        <v>0</v>
      </c>
      <c r="AI177" s="491">
        <v>0</v>
      </c>
      <c r="AJ177" s="491">
        <v>0</v>
      </c>
      <c r="AK177" s="491">
        <v>0</v>
      </c>
      <c r="AL177" s="609">
        <f>SUM(AF177:AK177)</f>
        <v>0</v>
      </c>
      <c r="AM177" s="676">
        <f>I177+AE177</f>
        <v>2571647</v>
      </c>
      <c r="AN177" s="492">
        <f>J177+V177</f>
        <v>1897824</v>
      </c>
      <c r="AO177" s="492">
        <f t="shared" si="311"/>
        <v>10000</v>
      </c>
      <c r="AP177" s="492">
        <f t="shared" si="312"/>
        <v>644845</v>
      </c>
      <c r="AQ177" s="492">
        <f t="shared" si="312"/>
        <v>18978</v>
      </c>
      <c r="AR177" s="573">
        <f t="shared" si="312"/>
        <v>0</v>
      </c>
      <c r="AS177" s="609">
        <f>O177+AL177</f>
        <v>3.5436000000000001</v>
      </c>
    </row>
    <row r="178" spans="1:45" ht="14.1" customHeight="1" x14ac:dyDescent="0.2">
      <c r="A178" s="509">
        <v>45</v>
      </c>
      <c r="B178" s="507">
        <v>2487</v>
      </c>
      <c r="C178" s="508">
        <v>600079996</v>
      </c>
      <c r="D178" s="507">
        <v>68974639</v>
      </c>
      <c r="E178" s="505" t="s">
        <v>607</v>
      </c>
      <c r="F178" s="509"/>
      <c r="G178" s="505"/>
      <c r="H178" s="504"/>
      <c r="I178" s="612">
        <v>33375516</v>
      </c>
      <c r="J178" s="503">
        <v>24699729</v>
      </c>
      <c r="K178" s="503">
        <v>60000</v>
      </c>
      <c r="L178" s="503">
        <v>8368789</v>
      </c>
      <c r="M178" s="503">
        <v>246998</v>
      </c>
      <c r="N178" s="503">
        <v>0</v>
      </c>
      <c r="O178" s="837">
        <v>36.854700000000001</v>
      </c>
      <c r="P178" s="612">
        <f t="shared" ref="P178:AS178" si="316">SUM(P174:P177)</f>
        <v>0</v>
      </c>
      <c r="Q178" s="502">
        <f t="shared" si="316"/>
        <v>0</v>
      </c>
      <c r="R178" s="502">
        <f t="shared" si="316"/>
        <v>0</v>
      </c>
      <c r="S178" s="502">
        <f t="shared" si="316"/>
        <v>0</v>
      </c>
      <c r="T178" s="502">
        <f t="shared" si="316"/>
        <v>0</v>
      </c>
      <c r="U178" s="502">
        <f t="shared" si="316"/>
        <v>0</v>
      </c>
      <c r="V178" s="502">
        <f t="shared" si="316"/>
        <v>0</v>
      </c>
      <c r="W178" s="502">
        <f t="shared" si="316"/>
        <v>0</v>
      </c>
      <c r="X178" s="502">
        <f t="shared" si="316"/>
        <v>0</v>
      </c>
      <c r="Y178" s="502">
        <f t="shared" si="316"/>
        <v>0</v>
      </c>
      <c r="Z178" s="502">
        <f t="shared" si="316"/>
        <v>0</v>
      </c>
      <c r="AA178" s="502">
        <f t="shared" si="316"/>
        <v>0</v>
      </c>
      <c r="AB178" s="502">
        <f t="shared" si="316"/>
        <v>0</v>
      </c>
      <c r="AC178" s="502">
        <f t="shared" si="316"/>
        <v>0</v>
      </c>
      <c r="AD178" s="502">
        <f t="shared" si="316"/>
        <v>0</v>
      </c>
      <c r="AE178" s="852">
        <f t="shared" si="316"/>
        <v>0</v>
      </c>
      <c r="AF178" s="857">
        <f t="shared" si="316"/>
        <v>0</v>
      </c>
      <c r="AG178" s="848">
        <f t="shared" si="316"/>
        <v>0</v>
      </c>
      <c r="AH178" s="848">
        <f t="shared" si="316"/>
        <v>0</v>
      </c>
      <c r="AI178" s="848">
        <f t="shared" si="316"/>
        <v>0</v>
      </c>
      <c r="AJ178" s="848">
        <f t="shared" si="316"/>
        <v>0</v>
      </c>
      <c r="AK178" s="848">
        <f t="shared" si="316"/>
        <v>0</v>
      </c>
      <c r="AL178" s="613">
        <f t="shared" si="316"/>
        <v>0</v>
      </c>
      <c r="AM178" s="612">
        <f t="shared" si="316"/>
        <v>33375516</v>
      </c>
      <c r="AN178" s="502">
        <f t="shared" si="316"/>
        <v>24699729</v>
      </c>
      <c r="AO178" s="549">
        <f t="shared" si="316"/>
        <v>60000</v>
      </c>
      <c r="AP178" s="502">
        <f t="shared" si="316"/>
        <v>8368789</v>
      </c>
      <c r="AQ178" s="502">
        <f t="shared" si="316"/>
        <v>246998</v>
      </c>
      <c r="AR178" s="502">
        <f t="shared" si="316"/>
        <v>0</v>
      </c>
      <c r="AS178" s="613">
        <f t="shared" si="316"/>
        <v>36.854700000000001</v>
      </c>
    </row>
    <row r="179" spans="1:45" ht="14.1" customHeight="1" x14ac:dyDescent="0.2">
      <c r="A179" s="499">
        <v>46</v>
      </c>
      <c r="B179" s="511">
        <v>2488</v>
      </c>
      <c r="C179" s="512">
        <v>600079902</v>
      </c>
      <c r="D179" s="511">
        <v>70884978</v>
      </c>
      <c r="E179" s="510" t="s">
        <v>608</v>
      </c>
      <c r="F179" s="499">
        <v>3113</v>
      </c>
      <c r="G179" s="510" t="s">
        <v>280</v>
      </c>
      <c r="H179" s="495" t="s">
        <v>262</v>
      </c>
      <c r="I179" s="610">
        <v>21585849</v>
      </c>
      <c r="J179" s="14">
        <v>15879409</v>
      </c>
      <c r="K179" s="14">
        <v>134832</v>
      </c>
      <c r="L179" s="14">
        <v>5412814</v>
      </c>
      <c r="M179" s="14">
        <v>158794</v>
      </c>
      <c r="N179" s="14">
        <v>0</v>
      </c>
      <c r="O179" s="121">
        <v>22.922499999999999</v>
      </c>
      <c r="P179" s="676">
        <f t="shared" si="244"/>
        <v>0</v>
      </c>
      <c r="Q179" s="492">
        <v>0</v>
      </c>
      <c r="R179" s="492">
        <v>0</v>
      </c>
      <c r="S179" s="492">
        <v>0</v>
      </c>
      <c r="T179" s="492">
        <v>0</v>
      </c>
      <c r="U179" s="492">
        <v>0</v>
      </c>
      <c r="V179" s="492">
        <f>P179+Q179+R179+S179+T179+U179</f>
        <v>0</v>
      </c>
      <c r="W179" s="492">
        <v>0</v>
      </c>
      <c r="X179" s="492">
        <v>0</v>
      </c>
      <c r="Y179" s="492">
        <v>0</v>
      </c>
      <c r="Z179" s="492">
        <f t="shared" ref="Z179:Z182" si="317">W179+X179+Y179</f>
        <v>0</v>
      </c>
      <c r="AA179" s="492">
        <f t="shared" ref="AA179:AA182" si="318">V179+Z179</f>
        <v>0</v>
      </c>
      <c r="AB179" s="494">
        <f t="shared" ref="AB179:AB182" si="319">ROUND((V179+Z179)*33.8%,0)</f>
        <v>0</v>
      </c>
      <c r="AC179" s="494">
        <f>ROUND(V179*1%,0)</f>
        <v>0</v>
      </c>
      <c r="AD179" s="14">
        <v>0</v>
      </c>
      <c r="AE179" s="753">
        <f t="shared" si="247"/>
        <v>0</v>
      </c>
      <c r="AF179" s="858">
        <v>0</v>
      </c>
      <c r="AG179" s="491">
        <v>0</v>
      </c>
      <c r="AH179" s="491">
        <v>0</v>
      </c>
      <c r="AI179" s="491">
        <v>0</v>
      </c>
      <c r="AJ179" s="491">
        <v>0</v>
      </c>
      <c r="AK179" s="491">
        <v>0</v>
      </c>
      <c r="AL179" s="609">
        <f>SUM(AF179:AK179)</f>
        <v>0</v>
      </c>
      <c r="AM179" s="676">
        <f>I179+AE179</f>
        <v>21585849</v>
      </c>
      <c r="AN179" s="492">
        <f>J179+V179</f>
        <v>15879409</v>
      </c>
      <c r="AO179" s="492">
        <f t="shared" ref="AO179:AO182" si="320">K179+Z179</f>
        <v>134832</v>
      </c>
      <c r="AP179" s="492">
        <f t="shared" ref="AP179:AR182" si="321">L179+AB179</f>
        <v>5412814</v>
      </c>
      <c r="AQ179" s="492">
        <f t="shared" si="321"/>
        <v>158794</v>
      </c>
      <c r="AR179" s="573">
        <f t="shared" si="321"/>
        <v>0</v>
      </c>
      <c r="AS179" s="609">
        <f>O179+AL179</f>
        <v>22.922499999999999</v>
      </c>
    </row>
    <row r="180" spans="1:45" ht="14.1" customHeight="1" x14ac:dyDescent="0.2">
      <c r="A180" s="499">
        <v>46</v>
      </c>
      <c r="B180" s="511">
        <v>2488</v>
      </c>
      <c r="C180" s="512">
        <v>600079902</v>
      </c>
      <c r="D180" s="511">
        <v>70884978</v>
      </c>
      <c r="E180" s="510" t="s">
        <v>608</v>
      </c>
      <c r="F180" s="499">
        <v>3113</v>
      </c>
      <c r="G180" s="510" t="s">
        <v>799</v>
      </c>
      <c r="H180" s="495" t="s">
        <v>262</v>
      </c>
      <c r="I180" s="610">
        <v>671484</v>
      </c>
      <c r="J180" s="14">
        <v>498134</v>
      </c>
      <c r="K180" s="14">
        <v>0</v>
      </c>
      <c r="L180" s="14">
        <v>168369</v>
      </c>
      <c r="M180" s="14">
        <v>4981</v>
      </c>
      <c r="N180" s="14">
        <v>0</v>
      </c>
      <c r="O180" s="121">
        <v>0.8</v>
      </c>
      <c r="P180" s="676">
        <f t="shared" si="244"/>
        <v>0</v>
      </c>
      <c r="Q180" s="492">
        <v>0</v>
      </c>
      <c r="R180" s="492">
        <v>0</v>
      </c>
      <c r="S180" s="492">
        <v>0</v>
      </c>
      <c r="T180" s="492">
        <v>0</v>
      </c>
      <c r="U180" s="492">
        <v>0</v>
      </c>
      <c r="V180" s="492">
        <f>P180+Q180+R180+S180+T180+U180</f>
        <v>0</v>
      </c>
      <c r="W180" s="492">
        <v>0</v>
      </c>
      <c r="X180" s="492">
        <v>0</v>
      </c>
      <c r="Y180" s="492">
        <v>0</v>
      </c>
      <c r="Z180" s="492">
        <f t="shared" ref="Z180" si="322">W180+X180+Y180</f>
        <v>0</v>
      </c>
      <c r="AA180" s="492">
        <f t="shared" ref="AA180" si="323">V180+Z180</f>
        <v>0</v>
      </c>
      <c r="AB180" s="494">
        <f t="shared" ref="AB180" si="324">ROUND((V180+Z180)*33.8%,0)</f>
        <v>0</v>
      </c>
      <c r="AC180" s="494">
        <f>ROUND(V180*1%,0)</f>
        <v>0</v>
      </c>
      <c r="AD180" s="14">
        <v>0</v>
      </c>
      <c r="AE180" s="753">
        <f t="shared" si="247"/>
        <v>0</v>
      </c>
      <c r="AF180" s="858">
        <v>0</v>
      </c>
      <c r="AG180" s="491">
        <v>0</v>
      </c>
      <c r="AH180" s="491">
        <v>0</v>
      </c>
      <c r="AI180" s="491">
        <v>0</v>
      </c>
      <c r="AJ180" s="491">
        <v>0</v>
      </c>
      <c r="AK180" s="491">
        <v>0</v>
      </c>
      <c r="AL180" s="609">
        <f>SUM(AF180:AK180)</f>
        <v>0</v>
      </c>
      <c r="AM180" s="676">
        <f>I180+AE180</f>
        <v>671484</v>
      </c>
      <c r="AN180" s="492">
        <f>J180+V180</f>
        <v>498134</v>
      </c>
      <c r="AO180" s="492">
        <f t="shared" si="320"/>
        <v>0</v>
      </c>
      <c r="AP180" s="492">
        <f t="shared" si="321"/>
        <v>168369</v>
      </c>
      <c r="AQ180" s="492">
        <f t="shared" si="321"/>
        <v>4981</v>
      </c>
      <c r="AR180" s="573">
        <f t="shared" si="321"/>
        <v>0</v>
      </c>
      <c r="AS180" s="609">
        <f>O180+AL180</f>
        <v>0.8</v>
      </c>
    </row>
    <row r="181" spans="1:45" ht="14.1" customHeight="1" x14ac:dyDescent="0.2">
      <c r="A181" s="499">
        <v>46</v>
      </c>
      <c r="B181" s="511">
        <v>2488</v>
      </c>
      <c r="C181" s="512">
        <v>600079902</v>
      </c>
      <c r="D181" s="511">
        <v>70884978</v>
      </c>
      <c r="E181" s="510" t="s">
        <v>608</v>
      </c>
      <c r="F181" s="499">
        <v>3113</v>
      </c>
      <c r="G181" s="513" t="s">
        <v>278</v>
      </c>
      <c r="H181" s="495" t="s">
        <v>263</v>
      </c>
      <c r="I181" s="610">
        <v>3762405</v>
      </c>
      <c r="J181" s="490">
        <v>2791102</v>
      </c>
      <c r="K181" s="490">
        <v>0</v>
      </c>
      <c r="L181" s="14">
        <v>943392</v>
      </c>
      <c r="M181" s="14">
        <v>27911</v>
      </c>
      <c r="N181" s="14">
        <v>0</v>
      </c>
      <c r="O181" s="664">
        <v>7.21</v>
      </c>
      <c r="P181" s="676">
        <f t="shared" si="244"/>
        <v>0</v>
      </c>
      <c r="Q181" s="492">
        <v>0</v>
      </c>
      <c r="R181" s="492">
        <v>0</v>
      </c>
      <c r="S181" s="492">
        <v>0</v>
      </c>
      <c r="T181" s="492">
        <v>0</v>
      </c>
      <c r="U181" s="492">
        <v>0</v>
      </c>
      <c r="V181" s="492">
        <f>P181+Q181+R181+S181+T181+U181</f>
        <v>0</v>
      </c>
      <c r="W181" s="492">
        <v>0</v>
      </c>
      <c r="X181" s="492">
        <v>0</v>
      </c>
      <c r="Y181" s="492">
        <v>0</v>
      </c>
      <c r="Z181" s="492">
        <f t="shared" si="317"/>
        <v>0</v>
      </c>
      <c r="AA181" s="492">
        <f t="shared" si="318"/>
        <v>0</v>
      </c>
      <c r="AB181" s="494">
        <f t="shared" si="319"/>
        <v>0</v>
      </c>
      <c r="AC181" s="494">
        <f>ROUND(V181*1%,0)</f>
        <v>0</v>
      </c>
      <c r="AD181" s="14">
        <v>0</v>
      </c>
      <c r="AE181" s="753">
        <f t="shared" si="247"/>
        <v>0</v>
      </c>
      <c r="AF181" s="858">
        <v>0</v>
      </c>
      <c r="AG181" s="491">
        <v>0</v>
      </c>
      <c r="AH181" s="491">
        <v>0</v>
      </c>
      <c r="AI181" s="491">
        <v>0</v>
      </c>
      <c r="AJ181" s="491">
        <v>0</v>
      </c>
      <c r="AK181" s="491">
        <v>0</v>
      </c>
      <c r="AL181" s="609">
        <f>SUM(AF181:AK181)</f>
        <v>0</v>
      </c>
      <c r="AM181" s="676">
        <f>I181+AE181</f>
        <v>3762405</v>
      </c>
      <c r="AN181" s="492">
        <f>J181+V181</f>
        <v>2791102</v>
      </c>
      <c r="AO181" s="492">
        <f t="shared" si="320"/>
        <v>0</v>
      </c>
      <c r="AP181" s="492">
        <f t="shared" si="321"/>
        <v>943392</v>
      </c>
      <c r="AQ181" s="492">
        <f t="shared" si="321"/>
        <v>27911</v>
      </c>
      <c r="AR181" s="573">
        <f t="shared" si="321"/>
        <v>0</v>
      </c>
      <c r="AS181" s="609">
        <f>O181+AL181</f>
        <v>7.21</v>
      </c>
    </row>
    <row r="182" spans="1:45" ht="14.1" customHeight="1" x14ac:dyDescent="0.2">
      <c r="A182" s="499">
        <v>46</v>
      </c>
      <c r="B182" s="511">
        <v>2488</v>
      </c>
      <c r="C182" s="512">
        <v>600079902</v>
      </c>
      <c r="D182" s="511">
        <v>70884978</v>
      </c>
      <c r="E182" s="510" t="s">
        <v>608</v>
      </c>
      <c r="F182" s="499">
        <v>3143</v>
      </c>
      <c r="G182" s="513" t="s">
        <v>795</v>
      </c>
      <c r="H182" s="495" t="s">
        <v>262</v>
      </c>
      <c r="I182" s="610">
        <v>2792335</v>
      </c>
      <c r="J182" s="14">
        <v>2071465</v>
      </c>
      <c r="K182" s="14">
        <v>0</v>
      </c>
      <c r="L182" s="14">
        <v>700155</v>
      </c>
      <c r="M182" s="14">
        <v>20715</v>
      </c>
      <c r="N182" s="14">
        <v>0</v>
      </c>
      <c r="O182" s="121">
        <v>3.9645999999999999</v>
      </c>
      <c r="P182" s="676">
        <f t="shared" si="244"/>
        <v>0</v>
      </c>
      <c r="Q182" s="492">
        <v>0</v>
      </c>
      <c r="R182" s="492">
        <v>0</v>
      </c>
      <c r="S182" s="492">
        <v>0</v>
      </c>
      <c r="T182" s="492">
        <v>0</v>
      </c>
      <c r="U182" s="492">
        <v>0</v>
      </c>
      <c r="V182" s="492">
        <f>P182+Q182+R182+S182+T182+U182</f>
        <v>0</v>
      </c>
      <c r="W182" s="492">
        <v>0</v>
      </c>
      <c r="X182" s="492">
        <v>0</v>
      </c>
      <c r="Y182" s="492">
        <v>0</v>
      </c>
      <c r="Z182" s="492">
        <f t="shared" si="317"/>
        <v>0</v>
      </c>
      <c r="AA182" s="492">
        <f t="shared" si="318"/>
        <v>0</v>
      </c>
      <c r="AB182" s="494">
        <f t="shared" si="319"/>
        <v>0</v>
      </c>
      <c r="AC182" s="494">
        <f>ROUND(V182*1%,0)</f>
        <v>0</v>
      </c>
      <c r="AD182" s="14">
        <v>0</v>
      </c>
      <c r="AE182" s="753">
        <f t="shared" si="247"/>
        <v>0</v>
      </c>
      <c r="AF182" s="858">
        <v>0</v>
      </c>
      <c r="AG182" s="491">
        <v>0</v>
      </c>
      <c r="AH182" s="491">
        <v>0</v>
      </c>
      <c r="AI182" s="491">
        <v>0</v>
      </c>
      <c r="AJ182" s="491">
        <v>0</v>
      </c>
      <c r="AK182" s="491">
        <v>0</v>
      </c>
      <c r="AL182" s="609">
        <f>SUM(AF182:AK182)</f>
        <v>0</v>
      </c>
      <c r="AM182" s="676">
        <f>I182+AE182</f>
        <v>2792335</v>
      </c>
      <c r="AN182" s="492">
        <f>J182+V182</f>
        <v>2071465</v>
      </c>
      <c r="AO182" s="492">
        <f t="shared" si="320"/>
        <v>0</v>
      </c>
      <c r="AP182" s="492">
        <f t="shared" si="321"/>
        <v>700155</v>
      </c>
      <c r="AQ182" s="492">
        <f t="shared" si="321"/>
        <v>20715</v>
      </c>
      <c r="AR182" s="573">
        <f t="shared" si="321"/>
        <v>0</v>
      </c>
      <c r="AS182" s="609">
        <f>O182+AL182</f>
        <v>3.9645999999999999</v>
      </c>
    </row>
    <row r="183" spans="1:45" ht="14.1" customHeight="1" x14ac:dyDescent="0.2">
      <c r="A183" s="509">
        <v>46</v>
      </c>
      <c r="B183" s="507">
        <v>2488</v>
      </c>
      <c r="C183" s="508">
        <v>600079902</v>
      </c>
      <c r="D183" s="507">
        <v>70884978</v>
      </c>
      <c r="E183" s="505" t="s">
        <v>609</v>
      </c>
      <c r="F183" s="509"/>
      <c r="G183" s="505"/>
      <c r="H183" s="504"/>
      <c r="I183" s="612">
        <v>28812073</v>
      </c>
      <c r="J183" s="503">
        <v>21240110</v>
      </c>
      <c r="K183" s="503">
        <v>134832</v>
      </c>
      <c r="L183" s="503">
        <v>7224730</v>
      </c>
      <c r="M183" s="503">
        <v>212401</v>
      </c>
      <c r="N183" s="503">
        <v>0</v>
      </c>
      <c r="O183" s="837">
        <v>34.897100000000002</v>
      </c>
      <c r="P183" s="612">
        <f t="shared" ref="P183:AS183" si="325">SUM(P179:P182)</f>
        <v>0</v>
      </c>
      <c r="Q183" s="502">
        <f t="shared" si="325"/>
        <v>0</v>
      </c>
      <c r="R183" s="502">
        <f t="shared" si="325"/>
        <v>0</v>
      </c>
      <c r="S183" s="502">
        <f t="shared" si="325"/>
        <v>0</v>
      </c>
      <c r="T183" s="502">
        <f t="shared" si="325"/>
        <v>0</v>
      </c>
      <c r="U183" s="502">
        <f t="shared" si="325"/>
        <v>0</v>
      </c>
      <c r="V183" s="502">
        <f t="shared" si="325"/>
        <v>0</v>
      </c>
      <c r="W183" s="502">
        <f t="shared" si="325"/>
        <v>0</v>
      </c>
      <c r="X183" s="502">
        <f t="shared" si="325"/>
        <v>0</v>
      </c>
      <c r="Y183" s="502">
        <f t="shared" si="325"/>
        <v>0</v>
      </c>
      <c r="Z183" s="502">
        <f t="shared" si="325"/>
        <v>0</v>
      </c>
      <c r="AA183" s="502">
        <f t="shared" si="325"/>
        <v>0</v>
      </c>
      <c r="AB183" s="502">
        <f t="shared" si="325"/>
        <v>0</v>
      </c>
      <c r="AC183" s="502">
        <f t="shared" si="325"/>
        <v>0</v>
      </c>
      <c r="AD183" s="502">
        <f t="shared" si="325"/>
        <v>0</v>
      </c>
      <c r="AE183" s="852">
        <f t="shared" si="325"/>
        <v>0</v>
      </c>
      <c r="AF183" s="857">
        <f t="shared" si="325"/>
        <v>0</v>
      </c>
      <c r="AG183" s="848">
        <f t="shared" si="325"/>
        <v>0</v>
      </c>
      <c r="AH183" s="848">
        <f t="shared" si="325"/>
        <v>0</v>
      </c>
      <c r="AI183" s="848">
        <f t="shared" si="325"/>
        <v>0</v>
      </c>
      <c r="AJ183" s="848">
        <f t="shared" si="325"/>
        <v>0</v>
      </c>
      <c r="AK183" s="848">
        <f t="shared" si="325"/>
        <v>0</v>
      </c>
      <c r="AL183" s="613">
        <f t="shared" si="325"/>
        <v>0</v>
      </c>
      <c r="AM183" s="612">
        <f t="shared" si="325"/>
        <v>28812073</v>
      </c>
      <c r="AN183" s="502">
        <f t="shared" si="325"/>
        <v>21240110</v>
      </c>
      <c r="AO183" s="549">
        <f t="shared" si="325"/>
        <v>134832</v>
      </c>
      <c r="AP183" s="502">
        <f t="shared" si="325"/>
        <v>7224730</v>
      </c>
      <c r="AQ183" s="502">
        <f t="shared" si="325"/>
        <v>212401</v>
      </c>
      <c r="AR183" s="502">
        <f t="shared" si="325"/>
        <v>0</v>
      </c>
      <c r="AS183" s="613">
        <f t="shared" si="325"/>
        <v>34.897100000000002</v>
      </c>
    </row>
    <row r="184" spans="1:45" ht="14.1" customHeight="1" x14ac:dyDescent="0.2">
      <c r="A184" s="499">
        <v>47</v>
      </c>
      <c r="B184" s="511">
        <v>2472</v>
      </c>
      <c r="C184" s="512">
        <v>600080277</v>
      </c>
      <c r="D184" s="511">
        <v>72743131</v>
      </c>
      <c r="E184" s="510" t="s">
        <v>610</v>
      </c>
      <c r="F184" s="499">
        <v>3113</v>
      </c>
      <c r="G184" s="510" t="s">
        <v>280</v>
      </c>
      <c r="H184" s="495" t="s">
        <v>262</v>
      </c>
      <c r="I184" s="610">
        <v>25249445</v>
      </c>
      <c r="J184" s="14">
        <v>18701265</v>
      </c>
      <c r="K184" s="14">
        <v>30000</v>
      </c>
      <c r="L184" s="14">
        <v>6331167</v>
      </c>
      <c r="M184" s="14">
        <v>187013</v>
      </c>
      <c r="N184" s="14">
        <v>0</v>
      </c>
      <c r="O184" s="121">
        <v>25.625499999999999</v>
      </c>
      <c r="P184" s="676">
        <f t="shared" si="244"/>
        <v>0</v>
      </c>
      <c r="Q184" s="492">
        <v>0</v>
      </c>
      <c r="R184" s="492">
        <v>0</v>
      </c>
      <c r="S184" s="492">
        <v>0</v>
      </c>
      <c r="T184" s="492">
        <v>0</v>
      </c>
      <c r="U184" s="492">
        <v>0</v>
      </c>
      <c r="V184" s="492">
        <f>P184+Q184+R184+S184+T184+U184</f>
        <v>0</v>
      </c>
      <c r="W184" s="492">
        <v>0</v>
      </c>
      <c r="X184" s="492">
        <v>0</v>
      </c>
      <c r="Y184" s="492">
        <v>0</v>
      </c>
      <c r="Z184" s="492">
        <f t="shared" ref="Z184:Z187" si="326">W184+X184+Y184</f>
        <v>0</v>
      </c>
      <c r="AA184" s="492">
        <f t="shared" ref="AA184:AA187" si="327">V184+Z184</f>
        <v>0</v>
      </c>
      <c r="AB184" s="494">
        <f t="shared" ref="AB184:AB187" si="328">ROUND((V184+Z184)*33.8%,0)</f>
        <v>0</v>
      </c>
      <c r="AC184" s="494">
        <f>ROUND(V184*1%,0)</f>
        <v>0</v>
      </c>
      <c r="AD184" s="14">
        <v>0</v>
      </c>
      <c r="AE184" s="753">
        <f t="shared" si="247"/>
        <v>0</v>
      </c>
      <c r="AF184" s="858">
        <v>0</v>
      </c>
      <c r="AG184" s="491">
        <v>0</v>
      </c>
      <c r="AH184" s="491">
        <v>0</v>
      </c>
      <c r="AI184" s="491">
        <v>0</v>
      </c>
      <c r="AJ184" s="491">
        <v>0</v>
      </c>
      <c r="AK184" s="491">
        <v>0</v>
      </c>
      <c r="AL184" s="609">
        <f>SUM(AF184:AK184)</f>
        <v>0</v>
      </c>
      <c r="AM184" s="676">
        <f>I184+AE184</f>
        <v>25249445</v>
      </c>
      <c r="AN184" s="492">
        <f>J184+V184</f>
        <v>18701265</v>
      </c>
      <c r="AO184" s="492">
        <f t="shared" ref="AO184:AO187" si="329">K184+Z184</f>
        <v>30000</v>
      </c>
      <c r="AP184" s="492">
        <f t="shared" ref="AP184:AR187" si="330">L184+AB184</f>
        <v>6331167</v>
      </c>
      <c r="AQ184" s="492">
        <f t="shared" si="330"/>
        <v>187013</v>
      </c>
      <c r="AR184" s="573">
        <f t="shared" si="330"/>
        <v>0</v>
      </c>
      <c r="AS184" s="609">
        <f>O184+AL184</f>
        <v>25.625499999999999</v>
      </c>
    </row>
    <row r="185" spans="1:45" ht="14.1" customHeight="1" x14ac:dyDescent="0.2">
      <c r="A185" s="499">
        <v>47</v>
      </c>
      <c r="B185" s="511">
        <v>2472</v>
      </c>
      <c r="C185" s="512">
        <v>600080277</v>
      </c>
      <c r="D185" s="511">
        <v>72743131</v>
      </c>
      <c r="E185" s="510" t="s">
        <v>610</v>
      </c>
      <c r="F185" s="499">
        <v>3113</v>
      </c>
      <c r="G185" s="510" t="s">
        <v>799</v>
      </c>
      <c r="H185" s="495" t="s">
        <v>262</v>
      </c>
      <c r="I185" s="610">
        <v>463855</v>
      </c>
      <c r="J185" s="14">
        <v>344106</v>
      </c>
      <c r="K185" s="14">
        <v>0</v>
      </c>
      <c r="L185" s="14">
        <v>116308</v>
      </c>
      <c r="M185" s="14">
        <v>3441</v>
      </c>
      <c r="N185" s="14">
        <v>0</v>
      </c>
      <c r="O185" s="121">
        <v>0.55259999999999998</v>
      </c>
      <c r="P185" s="676">
        <f t="shared" si="244"/>
        <v>0</v>
      </c>
      <c r="Q185" s="492">
        <v>0</v>
      </c>
      <c r="R185" s="492">
        <v>0</v>
      </c>
      <c r="S185" s="492">
        <v>0</v>
      </c>
      <c r="T185" s="492">
        <v>0</v>
      </c>
      <c r="U185" s="492">
        <v>0</v>
      </c>
      <c r="V185" s="492">
        <f>P185+Q185+R185+S185+T185+U185</f>
        <v>0</v>
      </c>
      <c r="W185" s="492">
        <v>0</v>
      </c>
      <c r="X185" s="492">
        <v>0</v>
      </c>
      <c r="Y185" s="492">
        <v>0</v>
      </c>
      <c r="Z185" s="492">
        <f t="shared" ref="Z185" si="331">W185+X185+Y185</f>
        <v>0</v>
      </c>
      <c r="AA185" s="492">
        <f t="shared" ref="AA185" si="332">V185+Z185</f>
        <v>0</v>
      </c>
      <c r="AB185" s="494">
        <f t="shared" ref="AB185" si="333">ROUND((V185+Z185)*33.8%,0)</f>
        <v>0</v>
      </c>
      <c r="AC185" s="494">
        <f>ROUND(V185*1%,0)</f>
        <v>0</v>
      </c>
      <c r="AD185" s="14">
        <v>0</v>
      </c>
      <c r="AE185" s="753">
        <f t="shared" si="247"/>
        <v>0</v>
      </c>
      <c r="AF185" s="858">
        <v>0</v>
      </c>
      <c r="AG185" s="491">
        <v>0</v>
      </c>
      <c r="AH185" s="491">
        <v>0</v>
      </c>
      <c r="AI185" s="491">
        <v>0</v>
      </c>
      <c r="AJ185" s="491">
        <v>0</v>
      </c>
      <c r="AK185" s="491">
        <v>0</v>
      </c>
      <c r="AL185" s="609">
        <f>SUM(AF185:AK185)</f>
        <v>0</v>
      </c>
      <c r="AM185" s="676">
        <f>I185+AE185</f>
        <v>463855</v>
      </c>
      <c r="AN185" s="492">
        <f>J185+V185</f>
        <v>344106</v>
      </c>
      <c r="AO185" s="492">
        <f t="shared" si="329"/>
        <v>0</v>
      </c>
      <c r="AP185" s="492">
        <f t="shared" si="330"/>
        <v>116308</v>
      </c>
      <c r="AQ185" s="492">
        <f t="shared" si="330"/>
        <v>3441</v>
      </c>
      <c r="AR185" s="573">
        <f t="shared" si="330"/>
        <v>0</v>
      </c>
      <c r="AS185" s="609">
        <f>O185+AL185</f>
        <v>0.55259999999999998</v>
      </c>
    </row>
    <row r="186" spans="1:45" ht="14.1" customHeight="1" x14ac:dyDescent="0.2">
      <c r="A186" s="499">
        <v>47</v>
      </c>
      <c r="B186" s="511">
        <v>2472</v>
      </c>
      <c r="C186" s="512">
        <v>600080277</v>
      </c>
      <c r="D186" s="511">
        <v>72743131</v>
      </c>
      <c r="E186" s="510" t="s">
        <v>610</v>
      </c>
      <c r="F186" s="499">
        <v>3113</v>
      </c>
      <c r="G186" s="513" t="s">
        <v>278</v>
      </c>
      <c r="H186" s="495" t="s">
        <v>263</v>
      </c>
      <c r="I186" s="610">
        <v>3866892</v>
      </c>
      <c r="J186" s="490">
        <v>2868614</v>
      </c>
      <c r="K186" s="490">
        <v>0</v>
      </c>
      <c r="L186" s="14">
        <v>969592</v>
      </c>
      <c r="M186" s="14">
        <v>28686</v>
      </c>
      <c r="N186" s="14">
        <v>0</v>
      </c>
      <c r="O186" s="664">
        <v>7.1</v>
      </c>
      <c r="P186" s="676">
        <f t="shared" si="244"/>
        <v>0</v>
      </c>
      <c r="Q186" s="492">
        <v>22075</v>
      </c>
      <c r="R186" s="492">
        <v>0</v>
      </c>
      <c r="S186" s="492">
        <v>0</v>
      </c>
      <c r="T186" s="492">
        <v>0</v>
      </c>
      <c r="U186" s="492">
        <v>0</v>
      </c>
      <c r="V186" s="492">
        <f>P186+Q186+R186+S186+T186+U186</f>
        <v>22075</v>
      </c>
      <c r="W186" s="492">
        <v>0</v>
      </c>
      <c r="X186" s="492">
        <v>0</v>
      </c>
      <c r="Y186" s="492">
        <v>0</v>
      </c>
      <c r="Z186" s="492">
        <f t="shared" si="326"/>
        <v>0</v>
      </c>
      <c r="AA186" s="492">
        <f t="shared" si="327"/>
        <v>22075</v>
      </c>
      <c r="AB186" s="494">
        <f t="shared" si="328"/>
        <v>7461</v>
      </c>
      <c r="AC186" s="494">
        <f>ROUND(V186*1%,0)</f>
        <v>221</v>
      </c>
      <c r="AD186" s="14">
        <v>0</v>
      </c>
      <c r="AE186" s="753">
        <f t="shared" si="247"/>
        <v>29757</v>
      </c>
      <c r="AF186" s="858">
        <v>0</v>
      </c>
      <c r="AG186" s="491">
        <v>0.04</v>
      </c>
      <c r="AH186" s="491">
        <v>0</v>
      </c>
      <c r="AI186" s="491">
        <v>0</v>
      </c>
      <c r="AJ186" s="491">
        <v>0</v>
      </c>
      <c r="AK186" s="491">
        <v>0</v>
      </c>
      <c r="AL186" s="609">
        <f>SUM(AF186:AK186)</f>
        <v>0.04</v>
      </c>
      <c r="AM186" s="676">
        <f>I186+AE186</f>
        <v>3896649</v>
      </c>
      <c r="AN186" s="492">
        <f>J186+V186</f>
        <v>2890689</v>
      </c>
      <c r="AO186" s="492">
        <f t="shared" si="329"/>
        <v>0</v>
      </c>
      <c r="AP186" s="492">
        <f t="shared" si="330"/>
        <v>977053</v>
      </c>
      <c r="AQ186" s="492">
        <f t="shared" si="330"/>
        <v>28907</v>
      </c>
      <c r="AR186" s="573">
        <f t="shared" si="330"/>
        <v>0</v>
      </c>
      <c r="AS186" s="609">
        <f>O186+AL186</f>
        <v>7.14</v>
      </c>
    </row>
    <row r="187" spans="1:45" ht="14.1" customHeight="1" x14ac:dyDescent="0.2">
      <c r="A187" s="499">
        <v>47</v>
      </c>
      <c r="B187" s="511">
        <v>2472</v>
      </c>
      <c r="C187" s="512">
        <v>600080277</v>
      </c>
      <c r="D187" s="511">
        <v>72743131</v>
      </c>
      <c r="E187" s="510" t="s">
        <v>610</v>
      </c>
      <c r="F187" s="499">
        <v>3143</v>
      </c>
      <c r="G187" s="513" t="s">
        <v>795</v>
      </c>
      <c r="H187" s="495" t="s">
        <v>262</v>
      </c>
      <c r="I187" s="610">
        <v>2962723</v>
      </c>
      <c r="J187" s="14">
        <v>2187940</v>
      </c>
      <c r="K187" s="14">
        <v>10000</v>
      </c>
      <c r="L187" s="14">
        <v>742904</v>
      </c>
      <c r="M187" s="14">
        <v>21879</v>
      </c>
      <c r="N187" s="14">
        <v>0</v>
      </c>
      <c r="O187" s="121">
        <v>4.2991000000000001</v>
      </c>
      <c r="P187" s="676">
        <f t="shared" si="244"/>
        <v>0</v>
      </c>
      <c r="Q187" s="492">
        <v>0</v>
      </c>
      <c r="R187" s="492">
        <v>0</v>
      </c>
      <c r="S187" s="492">
        <v>0</v>
      </c>
      <c r="T187" s="492">
        <v>0</v>
      </c>
      <c r="U187" s="492">
        <v>0</v>
      </c>
      <c r="V187" s="492">
        <f>P187+Q187+R187+S187+T187+U187</f>
        <v>0</v>
      </c>
      <c r="W187" s="492">
        <v>0</v>
      </c>
      <c r="X187" s="492">
        <v>0</v>
      </c>
      <c r="Y187" s="492">
        <v>0</v>
      </c>
      <c r="Z187" s="492">
        <f t="shared" si="326"/>
        <v>0</v>
      </c>
      <c r="AA187" s="492">
        <f t="shared" si="327"/>
        <v>0</v>
      </c>
      <c r="AB187" s="494">
        <f t="shared" si="328"/>
        <v>0</v>
      </c>
      <c r="AC187" s="494">
        <f>ROUND(V187*1%,0)</f>
        <v>0</v>
      </c>
      <c r="AD187" s="14">
        <v>0</v>
      </c>
      <c r="AE187" s="753">
        <f t="shared" si="247"/>
        <v>0</v>
      </c>
      <c r="AF187" s="858">
        <v>0</v>
      </c>
      <c r="AG187" s="491">
        <v>0</v>
      </c>
      <c r="AH187" s="491">
        <v>0</v>
      </c>
      <c r="AI187" s="491">
        <v>0</v>
      </c>
      <c r="AJ187" s="491">
        <v>0</v>
      </c>
      <c r="AK187" s="491">
        <v>0</v>
      </c>
      <c r="AL187" s="609">
        <f>SUM(AF187:AK187)</f>
        <v>0</v>
      </c>
      <c r="AM187" s="676">
        <f>I187+AE187</f>
        <v>2962723</v>
      </c>
      <c r="AN187" s="492">
        <f>J187+V187</f>
        <v>2187940</v>
      </c>
      <c r="AO187" s="492">
        <f t="shared" si="329"/>
        <v>10000</v>
      </c>
      <c r="AP187" s="492">
        <f t="shared" si="330"/>
        <v>742904</v>
      </c>
      <c r="AQ187" s="492">
        <f t="shared" si="330"/>
        <v>21879</v>
      </c>
      <c r="AR187" s="573">
        <f t="shared" si="330"/>
        <v>0</v>
      </c>
      <c r="AS187" s="609">
        <f>O187+AL187</f>
        <v>4.2991000000000001</v>
      </c>
    </row>
    <row r="188" spans="1:45" ht="14.1" customHeight="1" x14ac:dyDescent="0.2">
      <c r="A188" s="509">
        <v>47</v>
      </c>
      <c r="B188" s="507">
        <v>2472</v>
      </c>
      <c r="C188" s="508">
        <v>600080277</v>
      </c>
      <c r="D188" s="507">
        <v>72743131</v>
      </c>
      <c r="E188" s="505" t="s">
        <v>611</v>
      </c>
      <c r="F188" s="509"/>
      <c r="G188" s="505"/>
      <c r="H188" s="504"/>
      <c r="I188" s="612">
        <v>32542915</v>
      </c>
      <c r="J188" s="503">
        <v>24101925</v>
      </c>
      <c r="K188" s="503">
        <v>40000</v>
      </c>
      <c r="L188" s="503">
        <v>8159971</v>
      </c>
      <c r="M188" s="503">
        <v>241019</v>
      </c>
      <c r="N188" s="503">
        <v>0</v>
      </c>
      <c r="O188" s="837">
        <v>37.577200000000005</v>
      </c>
      <c r="P188" s="612">
        <f t="shared" ref="P188:AS188" si="334">SUM(P184:P187)</f>
        <v>0</v>
      </c>
      <c r="Q188" s="502">
        <f t="shared" si="334"/>
        <v>22075</v>
      </c>
      <c r="R188" s="502">
        <f t="shared" si="334"/>
        <v>0</v>
      </c>
      <c r="S188" s="502">
        <f t="shared" si="334"/>
        <v>0</v>
      </c>
      <c r="T188" s="502">
        <f t="shared" si="334"/>
        <v>0</v>
      </c>
      <c r="U188" s="502">
        <f t="shared" si="334"/>
        <v>0</v>
      </c>
      <c r="V188" s="502">
        <f t="shared" si="334"/>
        <v>22075</v>
      </c>
      <c r="W188" s="502">
        <f t="shared" si="334"/>
        <v>0</v>
      </c>
      <c r="X188" s="502">
        <f t="shared" si="334"/>
        <v>0</v>
      </c>
      <c r="Y188" s="502">
        <f t="shared" si="334"/>
        <v>0</v>
      </c>
      <c r="Z188" s="502">
        <f t="shared" si="334"/>
        <v>0</v>
      </c>
      <c r="AA188" s="502">
        <f t="shared" si="334"/>
        <v>22075</v>
      </c>
      <c r="AB188" s="502">
        <f t="shared" si="334"/>
        <v>7461</v>
      </c>
      <c r="AC188" s="502">
        <f t="shared" si="334"/>
        <v>221</v>
      </c>
      <c r="AD188" s="502">
        <f t="shared" si="334"/>
        <v>0</v>
      </c>
      <c r="AE188" s="852">
        <f t="shared" si="334"/>
        <v>29757</v>
      </c>
      <c r="AF188" s="857">
        <f t="shared" si="334"/>
        <v>0</v>
      </c>
      <c r="AG188" s="848">
        <f t="shared" si="334"/>
        <v>0.04</v>
      </c>
      <c r="AH188" s="848">
        <f t="shared" si="334"/>
        <v>0</v>
      </c>
      <c r="AI188" s="848">
        <f t="shared" si="334"/>
        <v>0</v>
      </c>
      <c r="AJ188" s="848">
        <f t="shared" si="334"/>
        <v>0</v>
      </c>
      <c r="AK188" s="848">
        <f t="shared" si="334"/>
        <v>0</v>
      </c>
      <c r="AL188" s="613">
        <f t="shared" si="334"/>
        <v>0.04</v>
      </c>
      <c r="AM188" s="612">
        <f t="shared" si="334"/>
        <v>32572672</v>
      </c>
      <c r="AN188" s="502">
        <f t="shared" si="334"/>
        <v>24124000</v>
      </c>
      <c r="AO188" s="549">
        <f t="shared" si="334"/>
        <v>40000</v>
      </c>
      <c r="AP188" s="502">
        <f t="shared" si="334"/>
        <v>8167432</v>
      </c>
      <c r="AQ188" s="502">
        <f t="shared" si="334"/>
        <v>241240</v>
      </c>
      <c r="AR188" s="502">
        <f t="shared" si="334"/>
        <v>0</v>
      </c>
      <c r="AS188" s="613">
        <f t="shared" si="334"/>
        <v>37.617200000000004</v>
      </c>
    </row>
    <row r="189" spans="1:45" ht="14.1" customHeight="1" x14ac:dyDescent="0.2">
      <c r="A189" s="499">
        <v>48</v>
      </c>
      <c r="B189" s="511">
        <v>2489</v>
      </c>
      <c r="C189" s="512">
        <v>600080188</v>
      </c>
      <c r="D189" s="511">
        <v>64040402</v>
      </c>
      <c r="E189" s="510" t="s">
        <v>612</v>
      </c>
      <c r="F189" s="499">
        <v>3113</v>
      </c>
      <c r="G189" s="510" t="s">
        <v>280</v>
      </c>
      <c r="H189" s="495" t="s">
        <v>262</v>
      </c>
      <c r="I189" s="610">
        <v>31494055</v>
      </c>
      <c r="J189" s="14">
        <v>23313914</v>
      </c>
      <c r="K189" s="14">
        <v>50000</v>
      </c>
      <c r="L189" s="14">
        <v>7897002</v>
      </c>
      <c r="M189" s="14">
        <v>233139</v>
      </c>
      <c r="N189" s="14">
        <v>0</v>
      </c>
      <c r="O189" s="121">
        <v>31.2681</v>
      </c>
      <c r="P189" s="676">
        <f t="shared" si="244"/>
        <v>0</v>
      </c>
      <c r="Q189" s="492">
        <v>0</v>
      </c>
      <c r="R189" s="492">
        <v>0</v>
      </c>
      <c r="S189" s="492">
        <v>0</v>
      </c>
      <c r="T189" s="492">
        <v>0</v>
      </c>
      <c r="U189" s="492">
        <v>0</v>
      </c>
      <c r="V189" s="492">
        <f>P189+Q189+R189+S189+T189+U189</f>
        <v>0</v>
      </c>
      <c r="W189" s="492">
        <v>0</v>
      </c>
      <c r="X189" s="492">
        <v>0</v>
      </c>
      <c r="Y189" s="492">
        <v>0</v>
      </c>
      <c r="Z189" s="492">
        <f t="shared" ref="Z189:Z192" si="335">W189+X189+Y189</f>
        <v>0</v>
      </c>
      <c r="AA189" s="492">
        <f t="shared" ref="AA189:AA192" si="336">V189+Z189</f>
        <v>0</v>
      </c>
      <c r="AB189" s="494">
        <f t="shared" ref="AB189:AB192" si="337">ROUND((V189+Z189)*33.8%,0)</f>
        <v>0</v>
      </c>
      <c r="AC189" s="494">
        <f>ROUND(V189*1%,0)</f>
        <v>0</v>
      </c>
      <c r="AD189" s="14">
        <v>0</v>
      </c>
      <c r="AE189" s="753">
        <f t="shared" si="247"/>
        <v>0</v>
      </c>
      <c r="AF189" s="858">
        <v>0</v>
      </c>
      <c r="AG189" s="491">
        <v>0</v>
      </c>
      <c r="AH189" s="491">
        <v>0</v>
      </c>
      <c r="AI189" s="491">
        <v>0</v>
      </c>
      <c r="AJ189" s="491">
        <v>0</v>
      </c>
      <c r="AK189" s="491">
        <v>0</v>
      </c>
      <c r="AL189" s="609">
        <f>SUM(AF189:AK189)</f>
        <v>0</v>
      </c>
      <c r="AM189" s="676">
        <f>I189+AE189</f>
        <v>31494055</v>
      </c>
      <c r="AN189" s="492">
        <f>J189+V189</f>
        <v>23313914</v>
      </c>
      <c r="AO189" s="492">
        <f t="shared" ref="AO189:AO192" si="338">K189+Z189</f>
        <v>50000</v>
      </c>
      <c r="AP189" s="492">
        <f t="shared" ref="AP189:AR192" si="339">L189+AB189</f>
        <v>7897002</v>
      </c>
      <c r="AQ189" s="492">
        <f t="shared" si="339"/>
        <v>233139</v>
      </c>
      <c r="AR189" s="573">
        <f t="shared" si="339"/>
        <v>0</v>
      </c>
      <c r="AS189" s="609">
        <f>O189+AL189</f>
        <v>31.2681</v>
      </c>
    </row>
    <row r="190" spans="1:45" ht="14.1" customHeight="1" x14ac:dyDescent="0.2">
      <c r="A190" s="499">
        <v>48</v>
      </c>
      <c r="B190" s="511">
        <v>2489</v>
      </c>
      <c r="C190" s="512">
        <v>600080188</v>
      </c>
      <c r="D190" s="511">
        <v>64040402</v>
      </c>
      <c r="E190" s="510" t="s">
        <v>612</v>
      </c>
      <c r="F190" s="499">
        <v>3113</v>
      </c>
      <c r="G190" s="510" t="s">
        <v>799</v>
      </c>
      <c r="H190" s="495" t="s">
        <v>262</v>
      </c>
      <c r="I190" s="610">
        <v>711081</v>
      </c>
      <c r="J190" s="14">
        <v>527508</v>
      </c>
      <c r="K190" s="14">
        <v>0</v>
      </c>
      <c r="L190" s="14">
        <v>178298</v>
      </c>
      <c r="M190" s="14">
        <v>5275</v>
      </c>
      <c r="N190" s="14">
        <v>0</v>
      </c>
      <c r="O190" s="121">
        <v>1</v>
      </c>
      <c r="P190" s="676">
        <f t="shared" si="244"/>
        <v>0</v>
      </c>
      <c r="Q190" s="492">
        <v>0</v>
      </c>
      <c r="R190" s="492">
        <v>0</v>
      </c>
      <c r="S190" s="492">
        <v>0</v>
      </c>
      <c r="T190" s="492">
        <v>0</v>
      </c>
      <c r="U190" s="492">
        <v>0</v>
      </c>
      <c r="V190" s="492">
        <f>P190+Q190+R190+S190+T190+U190</f>
        <v>0</v>
      </c>
      <c r="W190" s="492">
        <v>0</v>
      </c>
      <c r="X190" s="492">
        <v>0</v>
      </c>
      <c r="Y190" s="492">
        <v>0</v>
      </c>
      <c r="Z190" s="492">
        <f t="shared" ref="Z190" si="340">W190+X190+Y190</f>
        <v>0</v>
      </c>
      <c r="AA190" s="492">
        <f t="shared" ref="AA190" si="341">V190+Z190</f>
        <v>0</v>
      </c>
      <c r="AB190" s="494">
        <f t="shared" ref="AB190" si="342">ROUND((V190+Z190)*33.8%,0)</f>
        <v>0</v>
      </c>
      <c r="AC190" s="494">
        <f>ROUND(V190*1%,0)</f>
        <v>0</v>
      </c>
      <c r="AD190" s="14">
        <v>0</v>
      </c>
      <c r="AE190" s="753">
        <f t="shared" si="247"/>
        <v>0</v>
      </c>
      <c r="AF190" s="858">
        <v>0</v>
      </c>
      <c r="AG190" s="491">
        <v>0</v>
      </c>
      <c r="AH190" s="491">
        <v>0</v>
      </c>
      <c r="AI190" s="491">
        <v>0</v>
      </c>
      <c r="AJ190" s="491">
        <v>0</v>
      </c>
      <c r="AK190" s="491">
        <v>0</v>
      </c>
      <c r="AL190" s="609">
        <f>SUM(AF190:AK190)</f>
        <v>0</v>
      </c>
      <c r="AM190" s="676">
        <f>I190+AE190</f>
        <v>711081</v>
      </c>
      <c r="AN190" s="492">
        <f>J190+V190</f>
        <v>527508</v>
      </c>
      <c r="AO190" s="492">
        <f t="shared" si="338"/>
        <v>0</v>
      </c>
      <c r="AP190" s="492">
        <f t="shared" si="339"/>
        <v>178298</v>
      </c>
      <c r="AQ190" s="492">
        <f t="shared" si="339"/>
        <v>5275</v>
      </c>
      <c r="AR190" s="573">
        <f t="shared" si="339"/>
        <v>0</v>
      </c>
      <c r="AS190" s="609">
        <f>O190+AL190</f>
        <v>1</v>
      </c>
    </row>
    <row r="191" spans="1:45" ht="14.1" customHeight="1" x14ac:dyDescent="0.2">
      <c r="A191" s="499">
        <v>48</v>
      </c>
      <c r="B191" s="511">
        <v>2489</v>
      </c>
      <c r="C191" s="512">
        <v>600080188</v>
      </c>
      <c r="D191" s="511">
        <v>64040402</v>
      </c>
      <c r="E191" s="510" t="s">
        <v>612</v>
      </c>
      <c r="F191" s="499">
        <v>3113</v>
      </c>
      <c r="G191" s="513" t="s">
        <v>278</v>
      </c>
      <c r="H191" s="495" t="s">
        <v>263</v>
      </c>
      <c r="I191" s="610">
        <v>3780345</v>
      </c>
      <c r="J191" s="490">
        <v>2804410</v>
      </c>
      <c r="K191" s="490">
        <v>0</v>
      </c>
      <c r="L191" s="14">
        <v>947891</v>
      </c>
      <c r="M191" s="14">
        <v>28044</v>
      </c>
      <c r="N191" s="14">
        <v>0</v>
      </c>
      <c r="O191" s="664">
        <v>7.6400000000000006</v>
      </c>
      <c r="P191" s="676">
        <f t="shared" si="244"/>
        <v>0</v>
      </c>
      <c r="Q191" s="492">
        <v>112254</v>
      </c>
      <c r="R191" s="492">
        <v>0</v>
      </c>
      <c r="S191" s="492">
        <v>0</v>
      </c>
      <c r="T191" s="492">
        <v>0</v>
      </c>
      <c r="U191" s="492">
        <v>0</v>
      </c>
      <c r="V191" s="492">
        <f>P191+Q191+R191+S191+T191+U191</f>
        <v>112254</v>
      </c>
      <c r="W191" s="492">
        <v>0</v>
      </c>
      <c r="X191" s="492">
        <v>0</v>
      </c>
      <c r="Y191" s="492">
        <v>0</v>
      </c>
      <c r="Z191" s="492">
        <f t="shared" si="335"/>
        <v>0</v>
      </c>
      <c r="AA191" s="492">
        <f t="shared" si="336"/>
        <v>112254</v>
      </c>
      <c r="AB191" s="494">
        <f t="shared" si="337"/>
        <v>37942</v>
      </c>
      <c r="AC191" s="494">
        <f>ROUND(V191*1%,0)</f>
        <v>1123</v>
      </c>
      <c r="AD191" s="14">
        <v>0</v>
      </c>
      <c r="AE191" s="753">
        <f t="shared" si="247"/>
        <v>151319</v>
      </c>
      <c r="AF191" s="858">
        <v>0</v>
      </c>
      <c r="AG191" s="491">
        <v>0.18</v>
      </c>
      <c r="AH191" s="491">
        <v>0</v>
      </c>
      <c r="AI191" s="491">
        <v>0</v>
      </c>
      <c r="AJ191" s="491">
        <v>0</v>
      </c>
      <c r="AK191" s="491">
        <v>0</v>
      </c>
      <c r="AL191" s="609">
        <f>SUM(AF191:AK191)</f>
        <v>0.18</v>
      </c>
      <c r="AM191" s="676">
        <f>I191+AE191</f>
        <v>3931664</v>
      </c>
      <c r="AN191" s="492">
        <f>J191+V191</f>
        <v>2916664</v>
      </c>
      <c r="AO191" s="492">
        <f t="shared" si="338"/>
        <v>0</v>
      </c>
      <c r="AP191" s="492">
        <f t="shared" si="339"/>
        <v>985833</v>
      </c>
      <c r="AQ191" s="492">
        <f t="shared" si="339"/>
        <v>29167</v>
      </c>
      <c r="AR191" s="573">
        <f t="shared" si="339"/>
        <v>0</v>
      </c>
      <c r="AS191" s="609">
        <f>O191+AL191</f>
        <v>7.82</v>
      </c>
    </row>
    <row r="192" spans="1:45" ht="14.1" customHeight="1" x14ac:dyDescent="0.2">
      <c r="A192" s="499">
        <v>48</v>
      </c>
      <c r="B192" s="511">
        <v>2489</v>
      </c>
      <c r="C192" s="512">
        <v>600080188</v>
      </c>
      <c r="D192" s="511">
        <v>64040402</v>
      </c>
      <c r="E192" s="510" t="s">
        <v>612</v>
      </c>
      <c r="F192" s="499">
        <v>3143</v>
      </c>
      <c r="G192" s="513" t="s">
        <v>795</v>
      </c>
      <c r="H192" s="495" t="s">
        <v>262</v>
      </c>
      <c r="I192" s="610">
        <v>3306608</v>
      </c>
      <c r="J192" s="14">
        <v>2452973</v>
      </c>
      <c r="K192" s="14">
        <v>0</v>
      </c>
      <c r="L192" s="14">
        <v>829105</v>
      </c>
      <c r="M192" s="14">
        <v>24530</v>
      </c>
      <c r="N192" s="14">
        <v>0</v>
      </c>
      <c r="O192" s="121">
        <v>4.6665999999999999</v>
      </c>
      <c r="P192" s="676">
        <f t="shared" si="244"/>
        <v>0</v>
      </c>
      <c r="Q192" s="492">
        <v>0</v>
      </c>
      <c r="R192" s="492">
        <v>0</v>
      </c>
      <c r="S192" s="492">
        <v>0</v>
      </c>
      <c r="T192" s="492">
        <v>0</v>
      </c>
      <c r="U192" s="492">
        <v>0</v>
      </c>
      <c r="V192" s="492">
        <f>P192+Q192+R192+S192+T192+U192</f>
        <v>0</v>
      </c>
      <c r="W192" s="492">
        <v>0</v>
      </c>
      <c r="X192" s="492">
        <v>0</v>
      </c>
      <c r="Y192" s="492">
        <v>0</v>
      </c>
      <c r="Z192" s="492">
        <f t="shared" si="335"/>
        <v>0</v>
      </c>
      <c r="AA192" s="492">
        <f t="shared" si="336"/>
        <v>0</v>
      </c>
      <c r="AB192" s="494">
        <f t="shared" si="337"/>
        <v>0</v>
      </c>
      <c r="AC192" s="494">
        <f>ROUND(V192*1%,0)</f>
        <v>0</v>
      </c>
      <c r="AD192" s="14">
        <v>0</v>
      </c>
      <c r="AE192" s="753">
        <f t="shared" si="247"/>
        <v>0</v>
      </c>
      <c r="AF192" s="858">
        <v>0</v>
      </c>
      <c r="AG192" s="491">
        <v>0</v>
      </c>
      <c r="AH192" s="491">
        <v>0</v>
      </c>
      <c r="AI192" s="491">
        <v>0</v>
      </c>
      <c r="AJ192" s="491">
        <v>0</v>
      </c>
      <c r="AK192" s="491">
        <v>0</v>
      </c>
      <c r="AL192" s="609">
        <f>SUM(AF192:AK192)</f>
        <v>0</v>
      </c>
      <c r="AM192" s="676">
        <f>I192+AE192</f>
        <v>3306608</v>
      </c>
      <c r="AN192" s="492">
        <f>J192+V192</f>
        <v>2452973</v>
      </c>
      <c r="AO192" s="492">
        <f t="shared" si="338"/>
        <v>0</v>
      </c>
      <c r="AP192" s="492">
        <f t="shared" si="339"/>
        <v>829105</v>
      </c>
      <c r="AQ192" s="492">
        <f t="shared" si="339"/>
        <v>24530</v>
      </c>
      <c r="AR192" s="573">
        <f t="shared" si="339"/>
        <v>0</v>
      </c>
      <c r="AS192" s="609">
        <f>O192+AL192</f>
        <v>4.6665999999999999</v>
      </c>
    </row>
    <row r="193" spans="1:45" ht="14.1" customHeight="1" x14ac:dyDescent="0.2">
      <c r="A193" s="509">
        <v>48</v>
      </c>
      <c r="B193" s="507">
        <v>2489</v>
      </c>
      <c r="C193" s="508">
        <v>600080188</v>
      </c>
      <c r="D193" s="507">
        <v>64040402</v>
      </c>
      <c r="E193" s="505" t="s">
        <v>613</v>
      </c>
      <c r="F193" s="509"/>
      <c r="G193" s="505"/>
      <c r="H193" s="504"/>
      <c r="I193" s="612">
        <v>39292089</v>
      </c>
      <c r="J193" s="503">
        <v>29098805</v>
      </c>
      <c r="K193" s="503">
        <v>50000</v>
      </c>
      <c r="L193" s="503">
        <v>9852296</v>
      </c>
      <c r="M193" s="503">
        <v>290988</v>
      </c>
      <c r="N193" s="503">
        <v>0</v>
      </c>
      <c r="O193" s="837">
        <v>44.574700000000007</v>
      </c>
      <c r="P193" s="612">
        <f t="shared" ref="P193:AS193" si="343">SUM(P189:P192)</f>
        <v>0</v>
      </c>
      <c r="Q193" s="502">
        <f t="shared" si="343"/>
        <v>112254</v>
      </c>
      <c r="R193" s="502">
        <f t="shared" si="343"/>
        <v>0</v>
      </c>
      <c r="S193" s="502">
        <f t="shared" si="343"/>
        <v>0</v>
      </c>
      <c r="T193" s="502">
        <f t="shared" si="343"/>
        <v>0</v>
      </c>
      <c r="U193" s="502">
        <f t="shared" si="343"/>
        <v>0</v>
      </c>
      <c r="V193" s="502">
        <f t="shared" si="343"/>
        <v>112254</v>
      </c>
      <c r="W193" s="502">
        <f t="shared" si="343"/>
        <v>0</v>
      </c>
      <c r="X193" s="502">
        <f t="shared" si="343"/>
        <v>0</v>
      </c>
      <c r="Y193" s="502">
        <f t="shared" si="343"/>
        <v>0</v>
      </c>
      <c r="Z193" s="502">
        <f t="shared" si="343"/>
        <v>0</v>
      </c>
      <c r="AA193" s="502">
        <f t="shared" si="343"/>
        <v>112254</v>
      </c>
      <c r="AB193" s="502">
        <f t="shared" si="343"/>
        <v>37942</v>
      </c>
      <c r="AC193" s="502">
        <f t="shared" si="343"/>
        <v>1123</v>
      </c>
      <c r="AD193" s="502">
        <f t="shared" si="343"/>
        <v>0</v>
      </c>
      <c r="AE193" s="852">
        <f t="shared" si="343"/>
        <v>151319</v>
      </c>
      <c r="AF193" s="857">
        <f t="shared" si="343"/>
        <v>0</v>
      </c>
      <c r="AG193" s="848">
        <f t="shared" si="343"/>
        <v>0.18</v>
      </c>
      <c r="AH193" s="848">
        <f t="shared" si="343"/>
        <v>0</v>
      </c>
      <c r="AI193" s="848">
        <f t="shared" si="343"/>
        <v>0</v>
      </c>
      <c r="AJ193" s="848">
        <f t="shared" si="343"/>
        <v>0</v>
      </c>
      <c r="AK193" s="848">
        <f t="shared" si="343"/>
        <v>0</v>
      </c>
      <c r="AL193" s="613">
        <f t="shared" si="343"/>
        <v>0.18</v>
      </c>
      <c r="AM193" s="612">
        <f t="shared" si="343"/>
        <v>39443408</v>
      </c>
      <c r="AN193" s="502">
        <f t="shared" si="343"/>
        <v>29211059</v>
      </c>
      <c r="AO193" s="549">
        <f t="shared" si="343"/>
        <v>50000</v>
      </c>
      <c r="AP193" s="502">
        <f t="shared" si="343"/>
        <v>9890238</v>
      </c>
      <c r="AQ193" s="502">
        <f t="shared" si="343"/>
        <v>292111</v>
      </c>
      <c r="AR193" s="502">
        <f t="shared" si="343"/>
        <v>0</v>
      </c>
      <c r="AS193" s="613">
        <f t="shared" si="343"/>
        <v>44.754700000000007</v>
      </c>
    </row>
    <row r="194" spans="1:45" ht="14.1" customHeight="1" x14ac:dyDescent="0.2">
      <c r="A194" s="499">
        <v>49</v>
      </c>
      <c r="B194" s="511">
        <v>2473</v>
      </c>
      <c r="C194" s="512">
        <v>600080285</v>
      </c>
      <c r="D194" s="511">
        <v>65642376</v>
      </c>
      <c r="E194" s="510" t="s">
        <v>614</v>
      </c>
      <c r="F194" s="499">
        <v>3113</v>
      </c>
      <c r="G194" s="510" t="s">
        <v>280</v>
      </c>
      <c r="H194" s="495" t="s">
        <v>262</v>
      </c>
      <c r="I194" s="610">
        <v>43059936</v>
      </c>
      <c r="J194" s="14">
        <v>31819501</v>
      </c>
      <c r="K194" s="14">
        <v>125000</v>
      </c>
      <c r="L194" s="14">
        <v>10797241</v>
      </c>
      <c r="M194" s="14">
        <v>318194</v>
      </c>
      <c r="N194" s="14">
        <v>0</v>
      </c>
      <c r="O194" s="121">
        <v>43.482199999999999</v>
      </c>
      <c r="P194" s="676">
        <f t="shared" si="244"/>
        <v>0</v>
      </c>
      <c r="Q194" s="492">
        <v>0</v>
      </c>
      <c r="R194" s="492">
        <v>0</v>
      </c>
      <c r="S194" s="492">
        <v>0</v>
      </c>
      <c r="T194" s="492">
        <v>0</v>
      </c>
      <c r="U194" s="492">
        <v>0</v>
      </c>
      <c r="V194" s="492">
        <f>P194+Q194+R194+S194+T194+U194</f>
        <v>0</v>
      </c>
      <c r="W194" s="492">
        <v>0</v>
      </c>
      <c r="X194" s="492">
        <v>0</v>
      </c>
      <c r="Y194" s="492">
        <v>0</v>
      </c>
      <c r="Z194" s="492">
        <f t="shared" ref="Z194:Z197" si="344">W194+X194+Y194</f>
        <v>0</v>
      </c>
      <c r="AA194" s="492">
        <f t="shared" ref="AA194:AA197" si="345">V194+Z194</f>
        <v>0</v>
      </c>
      <c r="AB194" s="494">
        <f t="shared" ref="AB194:AB197" si="346">ROUND((V194+Z194)*33.8%,0)</f>
        <v>0</v>
      </c>
      <c r="AC194" s="494">
        <f>ROUND(V194*1%,0)</f>
        <v>0</v>
      </c>
      <c r="AD194" s="14">
        <v>0</v>
      </c>
      <c r="AE194" s="753">
        <f t="shared" si="247"/>
        <v>0</v>
      </c>
      <c r="AF194" s="858">
        <v>0</v>
      </c>
      <c r="AG194" s="491">
        <v>0</v>
      </c>
      <c r="AH194" s="491">
        <v>0</v>
      </c>
      <c r="AI194" s="491">
        <v>0</v>
      </c>
      <c r="AJ194" s="491">
        <v>0</v>
      </c>
      <c r="AK194" s="491">
        <v>0</v>
      </c>
      <c r="AL194" s="609">
        <f>SUM(AF194:AK194)</f>
        <v>0</v>
      </c>
      <c r="AM194" s="676">
        <f>I194+AE194</f>
        <v>43059936</v>
      </c>
      <c r="AN194" s="492">
        <f>J194+V194</f>
        <v>31819501</v>
      </c>
      <c r="AO194" s="492">
        <f t="shared" ref="AO194:AO197" si="347">K194+Z194</f>
        <v>125000</v>
      </c>
      <c r="AP194" s="492">
        <f t="shared" ref="AP194:AR197" si="348">L194+AB194</f>
        <v>10797241</v>
      </c>
      <c r="AQ194" s="492">
        <f t="shared" si="348"/>
        <v>318194</v>
      </c>
      <c r="AR194" s="573">
        <f t="shared" si="348"/>
        <v>0</v>
      </c>
      <c r="AS194" s="609">
        <f>O194+AL194</f>
        <v>43.482199999999999</v>
      </c>
    </row>
    <row r="195" spans="1:45" ht="14.1" customHeight="1" x14ac:dyDescent="0.2">
      <c r="A195" s="499">
        <v>49</v>
      </c>
      <c r="B195" s="511">
        <v>2473</v>
      </c>
      <c r="C195" s="512">
        <v>600080285</v>
      </c>
      <c r="D195" s="511">
        <v>65642376</v>
      </c>
      <c r="E195" s="510" t="s">
        <v>614</v>
      </c>
      <c r="F195" s="499">
        <v>3113</v>
      </c>
      <c r="G195" s="510" t="s">
        <v>799</v>
      </c>
      <c r="H195" s="495" t="s">
        <v>262</v>
      </c>
      <c r="I195" s="610">
        <v>839357</v>
      </c>
      <c r="J195" s="14">
        <v>622668</v>
      </c>
      <c r="K195" s="14">
        <v>0</v>
      </c>
      <c r="L195" s="14">
        <v>210462</v>
      </c>
      <c r="M195" s="14">
        <v>6227</v>
      </c>
      <c r="N195" s="14">
        <v>0</v>
      </c>
      <c r="O195" s="121">
        <v>1</v>
      </c>
      <c r="P195" s="676">
        <f t="shared" si="244"/>
        <v>0</v>
      </c>
      <c r="Q195" s="492">
        <v>0</v>
      </c>
      <c r="R195" s="492">
        <v>0</v>
      </c>
      <c r="S195" s="492">
        <v>0</v>
      </c>
      <c r="T195" s="492">
        <v>0</v>
      </c>
      <c r="U195" s="492">
        <v>0</v>
      </c>
      <c r="V195" s="492">
        <f>P195+Q195+R195+S195+T195+U195</f>
        <v>0</v>
      </c>
      <c r="W195" s="492">
        <v>0</v>
      </c>
      <c r="X195" s="492">
        <v>0</v>
      </c>
      <c r="Y195" s="492">
        <v>0</v>
      </c>
      <c r="Z195" s="492">
        <f t="shared" ref="Z195" si="349">W195+X195+Y195</f>
        <v>0</v>
      </c>
      <c r="AA195" s="492">
        <f t="shared" ref="AA195" si="350">V195+Z195</f>
        <v>0</v>
      </c>
      <c r="AB195" s="494">
        <f t="shared" ref="AB195" si="351">ROUND((V195+Z195)*33.8%,0)</f>
        <v>0</v>
      </c>
      <c r="AC195" s="494">
        <f>ROUND(V195*1%,0)</f>
        <v>0</v>
      </c>
      <c r="AD195" s="14">
        <v>0</v>
      </c>
      <c r="AE195" s="753">
        <f t="shared" si="247"/>
        <v>0</v>
      </c>
      <c r="AF195" s="858">
        <v>0</v>
      </c>
      <c r="AG195" s="491">
        <v>0</v>
      </c>
      <c r="AH195" s="491">
        <v>0</v>
      </c>
      <c r="AI195" s="491">
        <v>0</v>
      </c>
      <c r="AJ195" s="491">
        <v>0</v>
      </c>
      <c r="AK195" s="491">
        <v>0</v>
      </c>
      <c r="AL195" s="609">
        <f>SUM(AF195:AK195)</f>
        <v>0</v>
      </c>
      <c r="AM195" s="676">
        <f>I195+AE195</f>
        <v>839357</v>
      </c>
      <c r="AN195" s="492">
        <f>J195+V195</f>
        <v>622668</v>
      </c>
      <c r="AO195" s="492">
        <f t="shared" si="347"/>
        <v>0</v>
      </c>
      <c r="AP195" s="492">
        <f t="shared" si="348"/>
        <v>210462</v>
      </c>
      <c r="AQ195" s="492">
        <f t="shared" si="348"/>
        <v>6227</v>
      </c>
      <c r="AR195" s="573">
        <f t="shared" si="348"/>
        <v>0</v>
      </c>
      <c r="AS195" s="609">
        <f>O195+AL195</f>
        <v>1</v>
      </c>
    </row>
    <row r="196" spans="1:45" ht="14.1" customHeight="1" x14ac:dyDescent="0.2">
      <c r="A196" s="499">
        <v>49</v>
      </c>
      <c r="B196" s="511">
        <v>2473</v>
      </c>
      <c r="C196" s="512">
        <v>600080285</v>
      </c>
      <c r="D196" s="511">
        <v>65642376</v>
      </c>
      <c r="E196" s="510" t="s">
        <v>614</v>
      </c>
      <c r="F196" s="499">
        <v>3113</v>
      </c>
      <c r="G196" s="513" t="s">
        <v>278</v>
      </c>
      <c r="H196" s="495" t="s">
        <v>263</v>
      </c>
      <c r="I196" s="610">
        <v>11014724</v>
      </c>
      <c r="J196" s="490">
        <v>8171160</v>
      </c>
      <c r="K196" s="490">
        <v>0</v>
      </c>
      <c r="L196" s="14">
        <v>2761852</v>
      </c>
      <c r="M196" s="14">
        <v>81712</v>
      </c>
      <c r="N196" s="14">
        <v>0</v>
      </c>
      <c r="O196" s="664">
        <v>20.25</v>
      </c>
      <c r="P196" s="676">
        <f t="shared" si="244"/>
        <v>0</v>
      </c>
      <c r="Q196" s="492">
        <v>413387</v>
      </c>
      <c r="R196" s="492">
        <v>0</v>
      </c>
      <c r="S196" s="492">
        <v>0</v>
      </c>
      <c r="T196" s="492">
        <v>0</v>
      </c>
      <c r="U196" s="492">
        <v>0</v>
      </c>
      <c r="V196" s="492">
        <f>P196+Q196+R196+S196+T196+U196</f>
        <v>413387</v>
      </c>
      <c r="W196" s="492">
        <v>0</v>
      </c>
      <c r="X196" s="492">
        <v>0</v>
      </c>
      <c r="Y196" s="492">
        <v>0</v>
      </c>
      <c r="Z196" s="492">
        <f t="shared" si="344"/>
        <v>0</v>
      </c>
      <c r="AA196" s="492">
        <f t="shared" si="345"/>
        <v>413387</v>
      </c>
      <c r="AB196" s="494">
        <f t="shared" si="346"/>
        <v>139725</v>
      </c>
      <c r="AC196" s="494">
        <f>ROUND(V196*1%,0)</f>
        <v>4134</v>
      </c>
      <c r="AD196" s="14">
        <v>0</v>
      </c>
      <c r="AE196" s="753">
        <f t="shared" si="247"/>
        <v>557246</v>
      </c>
      <c r="AF196" s="858">
        <v>0</v>
      </c>
      <c r="AG196" s="491">
        <v>1.04</v>
      </c>
      <c r="AH196" s="491">
        <v>0</v>
      </c>
      <c r="AI196" s="491">
        <v>0</v>
      </c>
      <c r="AJ196" s="491">
        <v>0</v>
      </c>
      <c r="AK196" s="491">
        <v>0</v>
      </c>
      <c r="AL196" s="609">
        <f>SUM(AF196:AK196)</f>
        <v>1.04</v>
      </c>
      <c r="AM196" s="676">
        <f>I196+AE196</f>
        <v>11571970</v>
      </c>
      <c r="AN196" s="492">
        <f>J196+V196</f>
        <v>8584547</v>
      </c>
      <c r="AO196" s="492">
        <f t="shared" si="347"/>
        <v>0</v>
      </c>
      <c r="AP196" s="492">
        <f t="shared" si="348"/>
        <v>2901577</v>
      </c>
      <c r="AQ196" s="492">
        <f t="shared" si="348"/>
        <v>85846</v>
      </c>
      <c r="AR196" s="573">
        <f t="shared" si="348"/>
        <v>0</v>
      </c>
      <c r="AS196" s="609">
        <f>O196+AL196</f>
        <v>21.29</v>
      </c>
    </row>
    <row r="197" spans="1:45" ht="14.1" customHeight="1" x14ac:dyDescent="0.2">
      <c r="A197" s="499">
        <v>49</v>
      </c>
      <c r="B197" s="511">
        <v>2473</v>
      </c>
      <c r="C197" s="512">
        <v>600080285</v>
      </c>
      <c r="D197" s="511">
        <v>65642376</v>
      </c>
      <c r="E197" s="510" t="s">
        <v>614</v>
      </c>
      <c r="F197" s="499">
        <v>3143</v>
      </c>
      <c r="G197" s="513" t="s">
        <v>794</v>
      </c>
      <c r="H197" s="495" t="s">
        <v>262</v>
      </c>
      <c r="I197" s="610">
        <v>5316584</v>
      </c>
      <c r="J197" s="14">
        <v>3944053</v>
      </c>
      <c r="K197" s="14">
        <v>0</v>
      </c>
      <c r="L197" s="14">
        <v>1333090</v>
      </c>
      <c r="M197" s="14">
        <v>39441</v>
      </c>
      <c r="N197" s="14">
        <v>0</v>
      </c>
      <c r="O197" s="121">
        <v>7.6196999999999999</v>
      </c>
      <c r="P197" s="676">
        <f t="shared" si="244"/>
        <v>0</v>
      </c>
      <c r="Q197" s="492">
        <v>0</v>
      </c>
      <c r="R197" s="492">
        <v>0</v>
      </c>
      <c r="S197" s="492">
        <v>0</v>
      </c>
      <c r="T197" s="492">
        <v>0</v>
      </c>
      <c r="U197" s="492">
        <v>0</v>
      </c>
      <c r="V197" s="492">
        <f>P197+Q197+R197+S197+T197+U197</f>
        <v>0</v>
      </c>
      <c r="W197" s="492">
        <v>0</v>
      </c>
      <c r="X197" s="492">
        <v>0</v>
      </c>
      <c r="Y197" s="492">
        <v>0</v>
      </c>
      <c r="Z197" s="492">
        <f t="shared" si="344"/>
        <v>0</v>
      </c>
      <c r="AA197" s="492">
        <f t="shared" si="345"/>
        <v>0</v>
      </c>
      <c r="AB197" s="494">
        <f t="shared" si="346"/>
        <v>0</v>
      </c>
      <c r="AC197" s="494">
        <f>ROUND(V197*1%,0)</f>
        <v>0</v>
      </c>
      <c r="AD197" s="14">
        <v>0</v>
      </c>
      <c r="AE197" s="753">
        <f t="shared" si="247"/>
        <v>0</v>
      </c>
      <c r="AF197" s="858">
        <v>0</v>
      </c>
      <c r="AG197" s="491">
        <v>0</v>
      </c>
      <c r="AH197" s="491">
        <v>0</v>
      </c>
      <c r="AI197" s="491">
        <v>0</v>
      </c>
      <c r="AJ197" s="491">
        <v>0</v>
      </c>
      <c r="AK197" s="491">
        <v>0</v>
      </c>
      <c r="AL197" s="609">
        <f>SUM(AF197:AK197)</f>
        <v>0</v>
      </c>
      <c r="AM197" s="676">
        <f>I197+AE197</f>
        <v>5316584</v>
      </c>
      <c r="AN197" s="492">
        <f>J197+V197</f>
        <v>3944053</v>
      </c>
      <c r="AO197" s="492">
        <f t="shared" si="347"/>
        <v>0</v>
      </c>
      <c r="AP197" s="492">
        <f t="shared" si="348"/>
        <v>1333090</v>
      </c>
      <c r="AQ197" s="492">
        <f t="shared" si="348"/>
        <v>39441</v>
      </c>
      <c r="AR197" s="573">
        <f t="shared" si="348"/>
        <v>0</v>
      </c>
      <c r="AS197" s="609">
        <f>O197+AL197</f>
        <v>7.6196999999999999</v>
      </c>
    </row>
    <row r="198" spans="1:45" ht="14.1" customHeight="1" x14ac:dyDescent="0.2">
      <c r="A198" s="509">
        <v>49</v>
      </c>
      <c r="B198" s="507">
        <v>2473</v>
      </c>
      <c r="C198" s="508">
        <v>600080285</v>
      </c>
      <c r="D198" s="507">
        <v>65642376</v>
      </c>
      <c r="E198" s="505" t="s">
        <v>615</v>
      </c>
      <c r="F198" s="509"/>
      <c r="G198" s="505"/>
      <c r="H198" s="504"/>
      <c r="I198" s="612">
        <v>60230601</v>
      </c>
      <c r="J198" s="503">
        <v>44557382</v>
      </c>
      <c r="K198" s="503">
        <v>125000</v>
      </c>
      <c r="L198" s="503">
        <v>15102645</v>
      </c>
      <c r="M198" s="503">
        <v>445574</v>
      </c>
      <c r="N198" s="503">
        <v>0</v>
      </c>
      <c r="O198" s="837">
        <v>72.351900000000001</v>
      </c>
      <c r="P198" s="612">
        <f t="shared" ref="P198:AS198" si="352">SUM(P194:P197)</f>
        <v>0</v>
      </c>
      <c r="Q198" s="502">
        <f t="shared" si="352"/>
        <v>413387</v>
      </c>
      <c r="R198" s="502">
        <f t="shared" si="352"/>
        <v>0</v>
      </c>
      <c r="S198" s="502">
        <f t="shared" si="352"/>
        <v>0</v>
      </c>
      <c r="T198" s="502">
        <f t="shared" si="352"/>
        <v>0</v>
      </c>
      <c r="U198" s="502">
        <f t="shared" si="352"/>
        <v>0</v>
      </c>
      <c r="V198" s="502">
        <f t="shared" si="352"/>
        <v>413387</v>
      </c>
      <c r="W198" s="502">
        <f t="shared" si="352"/>
        <v>0</v>
      </c>
      <c r="X198" s="502">
        <f t="shared" si="352"/>
        <v>0</v>
      </c>
      <c r="Y198" s="502">
        <f t="shared" si="352"/>
        <v>0</v>
      </c>
      <c r="Z198" s="502">
        <f t="shared" si="352"/>
        <v>0</v>
      </c>
      <c r="AA198" s="502">
        <f t="shared" si="352"/>
        <v>413387</v>
      </c>
      <c r="AB198" s="502">
        <f t="shared" si="352"/>
        <v>139725</v>
      </c>
      <c r="AC198" s="502">
        <f t="shared" si="352"/>
        <v>4134</v>
      </c>
      <c r="AD198" s="502">
        <f t="shared" si="352"/>
        <v>0</v>
      </c>
      <c r="AE198" s="852">
        <f t="shared" si="352"/>
        <v>557246</v>
      </c>
      <c r="AF198" s="857">
        <f t="shared" si="352"/>
        <v>0</v>
      </c>
      <c r="AG198" s="848">
        <f t="shared" si="352"/>
        <v>1.04</v>
      </c>
      <c r="AH198" s="848">
        <f t="shared" si="352"/>
        <v>0</v>
      </c>
      <c r="AI198" s="848">
        <f t="shared" si="352"/>
        <v>0</v>
      </c>
      <c r="AJ198" s="848">
        <f t="shared" si="352"/>
        <v>0</v>
      </c>
      <c r="AK198" s="848">
        <f t="shared" si="352"/>
        <v>0</v>
      </c>
      <c r="AL198" s="613">
        <f t="shared" si="352"/>
        <v>1.04</v>
      </c>
      <c r="AM198" s="612">
        <f t="shared" si="352"/>
        <v>60787847</v>
      </c>
      <c r="AN198" s="502">
        <f t="shared" si="352"/>
        <v>44970769</v>
      </c>
      <c r="AO198" s="549">
        <f t="shared" si="352"/>
        <v>125000</v>
      </c>
      <c r="AP198" s="502">
        <f t="shared" si="352"/>
        <v>15242370</v>
      </c>
      <c r="AQ198" s="502">
        <f t="shared" si="352"/>
        <v>449708</v>
      </c>
      <c r="AR198" s="502">
        <f t="shared" si="352"/>
        <v>0</v>
      </c>
      <c r="AS198" s="613">
        <f t="shared" si="352"/>
        <v>73.391899999999993</v>
      </c>
    </row>
    <row r="199" spans="1:45" ht="14.1" customHeight="1" x14ac:dyDescent="0.2">
      <c r="A199" s="499">
        <v>50</v>
      </c>
      <c r="B199" s="511">
        <v>2490</v>
      </c>
      <c r="C199" s="512">
        <v>600080005</v>
      </c>
      <c r="D199" s="511">
        <v>46746757</v>
      </c>
      <c r="E199" s="510" t="s">
        <v>616</v>
      </c>
      <c r="F199" s="499">
        <v>3113</v>
      </c>
      <c r="G199" s="510" t="s">
        <v>280</v>
      </c>
      <c r="H199" s="495" t="s">
        <v>262</v>
      </c>
      <c r="I199" s="610">
        <v>25622421</v>
      </c>
      <c r="J199" s="14">
        <v>18968028</v>
      </c>
      <c r="K199" s="14">
        <v>40000</v>
      </c>
      <c r="L199" s="14">
        <v>6424713</v>
      </c>
      <c r="M199" s="14">
        <v>189680</v>
      </c>
      <c r="N199" s="14">
        <v>0</v>
      </c>
      <c r="O199" s="121">
        <v>26.131</v>
      </c>
      <c r="P199" s="676">
        <f t="shared" si="244"/>
        <v>0</v>
      </c>
      <c r="Q199" s="492">
        <v>0</v>
      </c>
      <c r="R199" s="492">
        <v>0</v>
      </c>
      <c r="S199" s="492">
        <v>0</v>
      </c>
      <c r="T199" s="492">
        <v>0</v>
      </c>
      <c r="U199" s="492">
        <v>0</v>
      </c>
      <c r="V199" s="492">
        <f>P199+Q199+R199+S199+T199+U199</f>
        <v>0</v>
      </c>
      <c r="W199" s="492">
        <v>0</v>
      </c>
      <c r="X199" s="492">
        <v>0</v>
      </c>
      <c r="Y199" s="492">
        <v>0</v>
      </c>
      <c r="Z199" s="492">
        <f t="shared" ref="Z199:Z202" si="353">W199+X199+Y199</f>
        <v>0</v>
      </c>
      <c r="AA199" s="492">
        <f t="shared" ref="AA199:AA202" si="354">V199+Z199</f>
        <v>0</v>
      </c>
      <c r="AB199" s="494">
        <f t="shared" ref="AB199:AB202" si="355">ROUND((V199+Z199)*33.8%,0)</f>
        <v>0</v>
      </c>
      <c r="AC199" s="494">
        <f>ROUND(V199*1%,0)</f>
        <v>0</v>
      </c>
      <c r="AD199" s="14">
        <v>0</v>
      </c>
      <c r="AE199" s="753">
        <f t="shared" si="247"/>
        <v>0</v>
      </c>
      <c r="AF199" s="858">
        <v>0</v>
      </c>
      <c r="AG199" s="491">
        <v>0</v>
      </c>
      <c r="AH199" s="491">
        <v>0</v>
      </c>
      <c r="AI199" s="491">
        <v>0</v>
      </c>
      <c r="AJ199" s="491">
        <v>0</v>
      </c>
      <c r="AK199" s="491">
        <v>0</v>
      </c>
      <c r="AL199" s="609">
        <f>SUM(AF199:AK199)</f>
        <v>0</v>
      </c>
      <c r="AM199" s="676">
        <f>I199+AE199</f>
        <v>25622421</v>
      </c>
      <c r="AN199" s="492">
        <f>J199+V199</f>
        <v>18968028</v>
      </c>
      <c r="AO199" s="492">
        <f t="shared" ref="AO199:AO202" si="356">K199+Z199</f>
        <v>40000</v>
      </c>
      <c r="AP199" s="492">
        <f t="shared" ref="AP199:AR202" si="357">L199+AB199</f>
        <v>6424713</v>
      </c>
      <c r="AQ199" s="492">
        <f t="shared" si="357"/>
        <v>189680</v>
      </c>
      <c r="AR199" s="573">
        <f t="shared" si="357"/>
        <v>0</v>
      </c>
      <c r="AS199" s="609">
        <f>O199+AL199</f>
        <v>26.131</v>
      </c>
    </row>
    <row r="200" spans="1:45" ht="14.1" customHeight="1" x14ac:dyDescent="0.2">
      <c r="A200" s="499">
        <v>50</v>
      </c>
      <c r="B200" s="511">
        <v>2490</v>
      </c>
      <c r="C200" s="512">
        <v>600080005</v>
      </c>
      <c r="D200" s="511">
        <v>46746757</v>
      </c>
      <c r="E200" s="510" t="s">
        <v>616</v>
      </c>
      <c r="F200" s="499">
        <v>3113</v>
      </c>
      <c r="G200" s="510" t="s">
        <v>799</v>
      </c>
      <c r="H200" s="495" t="s">
        <v>262</v>
      </c>
      <c r="I200" s="610">
        <v>588075</v>
      </c>
      <c r="J200" s="14">
        <v>436257</v>
      </c>
      <c r="K200" s="14">
        <v>0</v>
      </c>
      <c r="L200" s="14">
        <v>147455</v>
      </c>
      <c r="M200" s="14">
        <v>4363</v>
      </c>
      <c r="N200" s="14">
        <v>0</v>
      </c>
      <c r="O200" s="121">
        <v>0.77270000000000005</v>
      </c>
      <c r="P200" s="676">
        <f t="shared" si="244"/>
        <v>0</v>
      </c>
      <c r="Q200" s="492">
        <v>0</v>
      </c>
      <c r="R200" s="492">
        <v>0</v>
      </c>
      <c r="S200" s="492">
        <v>0</v>
      </c>
      <c r="T200" s="492">
        <v>0</v>
      </c>
      <c r="U200" s="492">
        <v>0</v>
      </c>
      <c r="V200" s="492">
        <f>P200+Q200+R200+S200+T200+U200</f>
        <v>0</v>
      </c>
      <c r="W200" s="492">
        <v>0</v>
      </c>
      <c r="X200" s="492">
        <v>0</v>
      </c>
      <c r="Y200" s="492">
        <v>0</v>
      </c>
      <c r="Z200" s="492">
        <f t="shared" ref="Z200" si="358">W200+X200+Y200</f>
        <v>0</v>
      </c>
      <c r="AA200" s="492">
        <f t="shared" ref="AA200" si="359">V200+Z200</f>
        <v>0</v>
      </c>
      <c r="AB200" s="494">
        <f t="shared" ref="AB200" si="360">ROUND((V200+Z200)*33.8%,0)</f>
        <v>0</v>
      </c>
      <c r="AC200" s="494">
        <f>ROUND(V200*1%,0)</f>
        <v>0</v>
      </c>
      <c r="AD200" s="14">
        <v>0</v>
      </c>
      <c r="AE200" s="753">
        <f t="shared" si="247"/>
        <v>0</v>
      </c>
      <c r="AF200" s="858">
        <v>0</v>
      </c>
      <c r="AG200" s="491">
        <v>0</v>
      </c>
      <c r="AH200" s="491">
        <v>0</v>
      </c>
      <c r="AI200" s="491">
        <v>0</v>
      </c>
      <c r="AJ200" s="491">
        <v>0</v>
      </c>
      <c r="AK200" s="491">
        <v>0</v>
      </c>
      <c r="AL200" s="609">
        <f>SUM(AF200:AK200)</f>
        <v>0</v>
      </c>
      <c r="AM200" s="676">
        <f>I200+AE200</f>
        <v>588075</v>
      </c>
      <c r="AN200" s="492">
        <f>J200+V200</f>
        <v>436257</v>
      </c>
      <c r="AO200" s="492">
        <f t="shared" si="356"/>
        <v>0</v>
      </c>
      <c r="AP200" s="492">
        <f t="shared" si="357"/>
        <v>147455</v>
      </c>
      <c r="AQ200" s="492">
        <f t="shared" si="357"/>
        <v>4363</v>
      </c>
      <c r="AR200" s="573">
        <f t="shared" si="357"/>
        <v>0</v>
      </c>
      <c r="AS200" s="609">
        <f>O200+AL200</f>
        <v>0.77270000000000005</v>
      </c>
    </row>
    <row r="201" spans="1:45" ht="14.1" customHeight="1" x14ac:dyDescent="0.2">
      <c r="A201" s="499">
        <v>50</v>
      </c>
      <c r="B201" s="511">
        <v>2490</v>
      </c>
      <c r="C201" s="512">
        <v>600080005</v>
      </c>
      <c r="D201" s="511">
        <v>46746757</v>
      </c>
      <c r="E201" s="510" t="s">
        <v>616</v>
      </c>
      <c r="F201" s="499">
        <v>3113</v>
      </c>
      <c r="G201" s="513" t="s">
        <v>278</v>
      </c>
      <c r="H201" s="495" t="s">
        <v>263</v>
      </c>
      <c r="I201" s="610">
        <v>3078328</v>
      </c>
      <c r="J201" s="490">
        <v>2283626</v>
      </c>
      <c r="K201" s="490">
        <v>0</v>
      </c>
      <c r="L201" s="14">
        <v>771866</v>
      </c>
      <c r="M201" s="14">
        <v>22836</v>
      </c>
      <c r="N201" s="14">
        <v>0</v>
      </c>
      <c r="O201" s="664">
        <v>5.44</v>
      </c>
      <c r="P201" s="676">
        <f t="shared" si="244"/>
        <v>0</v>
      </c>
      <c r="Q201" s="492">
        <v>225955</v>
      </c>
      <c r="R201" s="492">
        <v>0</v>
      </c>
      <c r="S201" s="492">
        <v>0</v>
      </c>
      <c r="T201" s="492">
        <v>0</v>
      </c>
      <c r="U201" s="492">
        <v>0</v>
      </c>
      <c r="V201" s="492">
        <f>P201+Q201+R201+S201+T201+U201</f>
        <v>225955</v>
      </c>
      <c r="W201" s="492">
        <v>0</v>
      </c>
      <c r="X201" s="492">
        <v>0</v>
      </c>
      <c r="Y201" s="492">
        <v>0</v>
      </c>
      <c r="Z201" s="492">
        <f t="shared" si="353"/>
        <v>0</v>
      </c>
      <c r="AA201" s="492">
        <f t="shared" si="354"/>
        <v>225955</v>
      </c>
      <c r="AB201" s="494">
        <f t="shared" si="355"/>
        <v>76373</v>
      </c>
      <c r="AC201" s="494">
        <f>ROUND(V201*1%,0)</f>
        <v>2260</v>
      </c>
      <c r="AD201" s="14">
        <v>0</v>
      </c>
      <c r="AE201" s="753">
        <f t="shared" si="247"/>
        <v>304588</v>
      </c>
      <c r="AF201" s="858">
        <v>0</v>
      </c>
      <c r="AG201" s="491">
        <v>0.59</v>
      </c>
      <c r="AH201" s="491">
        <v>0</v>
      </c>
      <c r="AI201" s="491">
        <v>0</v>
      </c>
      <c r="AJ201" s="491">
        <v>0</v>
      </c>
      <c r="AK201" s="491">
        <v>0</v>
      </c>
      <c r="AL201" s="609">
        <f>SUM(AF201:AK201)</f>
        <v>0.59</v>
      </c>
      <c r="AM201" s="676">
        <f>I201+AE201</f>
        <v>3382916</v>
      </c>
      <c r="AN201" s="492">
        <f>J201+V201</f>
        <v>2509581</v>
      </c>
      <c r="AO201" s="492">
        <f t="shared" si="356"/>
        <v>0</v>
      </c>
      <c r="AP201" s="492">
        <f t="shared" si="357"/>
        <v>848239</v>
      </c>
      <c r="AQ201" s="492">
        <f t="shared" si="357"/>
        <v>25096</v>
      </c>
      <c r="AR201" s="573">
        <f t="shared" si="357"/>
        <v>0</v>
      </c>
      <c r="AS201" s="609">
        <f>O201+AL201</f>
        <v>6.03</v>
      </c>
    </row>
    <row r="202" spans="1:45" ht="14.1" customHeight="1" x14ac:dyDescent="0.2">
      <c r="A202" s="499">
        <v>50</v>
      </c>
      <c r="B202" s="511">
        <v>2490</v>
      </c>
      <c r="C202" s="512">
        <v>600080005</v>
      </c>
      <c r="D202" s="511">
        <v>46746757</v>
      </c>
      <c r="E202" s="510" t="s">
        <v>616</v>
      </c>
      <c r="F202" s="499">
        <v>3143</v>
      </c>
      <c r="G202" s="513" t="s">
        <v>795</v>
      </c>
      <c r="H202" s="495" t="s">
        <v>262</v>
      </c>
      <c r="I202" s="610">
        <v>3088709</v>
      </c>
      <c r="J202" s="14">
        <v>2291327</v>
      </c>
      <c r="K202" s="14">
        <v>0</v>
      </c>
      <c r="L202" s="14">
        <v>774469</v>
      </c>
      <c r="M202" s="14">
        <v>22913</v>
      </c>
      <c r="N202" s="14">
        <v>0</v>
      </c>
      <c r="O202" s="121">
        <v>4.3</v>
      </c>
      <c r="P202" s="676">
        <f t="shared" si="244"/>
        <v>0</v>
      </c>
      <c r="Q202" s="492">
        <v>0</v>
      </c>
      <c r="R202" s="492">
        <v>0</v>
      </c>
      <c r="S202" s="492">
        <v>0</v>
      </c>
      <c r="T202" s="492">
        <v>0</v>
      </c>
      <c r="U202" s="492">
        <v>0</v>
      </c>
      <c r="V202" s="492">
        <f>P202+Q202+R202+S202+T202+U202</f>
        <v>0</v>
      </c>
      <c r="W202" s="492">
        <v>0</v>
      </c>
      <c r="X202" s="492">
        <v>0</v>
      </c>
      <c r="Y202" s="492">
        <v>0</v>
      </c>
      <c r="Z202" s="492">
        <f t="shared" si="353"/>
        <v>0</v>
      </c>
      <c r="AA202" s="492">
        <f t="shared" si="354"/>
        <v>0</v>
      </c>
      <c r="AB202" s="494">
        <f t="shared" si="355"/>
        <v>0</v>
      </c>
      <c r="AC202" s="494">
        <f>ROUND(V202*1%,0)</f>
        <v>0</v>
      </c>
      <c r="AD202" s="14">
        <v>0</v>
      </c>
      <c r="AE202" s="753">
        <f t="shared" si="247"/>
        <v>0</v>
      </c>
      <c r="AF202" s="858">
        <v>0</v>
      </c>
      <c r="AG202" s="491">
        <v>0</v>
      </c>
      <c r="AH202" s="491">
        <v>0</v>
      </c>
      <c r="AI202" s="491">
        <v>0</v>
      </c>
      <c r="AJ202" s="491">
        <v>0</v>
      </c>
      <c r="AK202" s="491">
        <v>0</v>
      </c>
      <c r="AL202" s="609">
        <f>SUM(AF202:AK202)</f>
        <v>0</v>
      </c>
      <c r="AM202" s="676">
        <f>I202+AE202</f>
        <v>3088709</v>
      </c>
      <c r="AN202" s="492">
        <f>J202+V202</f>
        <v>2291327</v>
      </c>
      <c r="AO202" s="492">
        <f t="shared" si="356"/>
        <v>0</v>
      </c>
      <c r="AP202" s="492">
        <f t="shared" si="357"/>
        <v>774469</v>
      </c>
      <c r="AQ202" s="492">
        <f t="shared" si="357"/>
        <v>22913</v>
      </c>
      <c r="AR202" s="573">
        <f t="shared" si="357"/>
        <v>0</v>
      </c>
      <c r="AS202" s="609">
        <f>O202+AL202</f>
        <v>4.3</v>
      </c>
    </row>
    <row r="203" spans="1:45" ht="14.1" customHeight="1" x14ac:dyDescent="0.2">
      <c r="A203" s="509">
        <v>50</v>
      </c>
      <c r="B203" s="507">
        <v>2490</v>
      </c>
      <c r="C203" s="508">
        <v>600080005</v>
      </c>
      <c r="D203" s="507">
        <v>46746757</v>
      </c>
      <c r="E203" s="505" t="s">
        <v>617</v>
      </c>
      <c r="F203" s="509"/>
      <c r="G203" s="505"/>
      <c r="H203" s="504"/>
      <c r="I203" s="612">
        <v>32377533</v>
      </c>
      <c r="J203" s="503">
        <v>23979238</v>
      </c>
      <c r="K203" s="503">
        <v>40000</v>
      </c>
      <c r="L203" s="503">
        <v>8118503</v>
      </c>
      <c r="M203" s="503">
        <v>239792</v>
      </c>
      <c r="N203" s="503">
        <v>0</v>
      </c>
      <c r="O203" s="837">
        <v>36.643699999999995</v>
      </c>
      <c r="P203" s="612">
        <f t="shared" ref="P203:AS203" si="361">SUM(P199:P202)</f>
        <v>0</v>
      </c>
      <c r="Q203" s="502">
        <f t="shared" si="361"/>
        <v>225955</v>
      </c>
      <c r="R203" s="502">
        <f t="shared" si="361"/>
        <v>0</v>
      </c>
      <c r="S203" s="502">
        <f t="shared" si="361"/>
        <v>0</v>
      </c>
      <c r="T203" s="502">
        <f t="shared" si="361"/>
        <v>0</v>
      </c>
      <c r="U203" s="502">
        <f t="shared" si="361"/>
        <v>0</v>
      </c>
      <c r="V203" s="502">
        <f t="shared" si="361"/>
        <v>225955</v>
      </c>
      <c r="W203" s="502">
        <f t="shared" si="361"/>
        <v>0</v>
      </c>
      <c r="X203" s="502">
        <f t="shared" si="361"/>
        <v>0</v>
      </c>
      <c r="Y203" s="502">
        <f t="shared" si="361"/>
        <v>0</v>
      </c>
      <c r="Z203" s="502">
        <f t="shared" si="361"/>
        <v>0</v>
      </c>
      <c r="AA203" s="502">
        <f t="shared" si="361"/>
        <v>225955</v>
      </c>
      <c r="AB203" s="502">
        <f t="shared" si="361"/>
        <v>76373</v>
      </c>
      <c r="AC203" s="502">
        <f t="shared" si="361"/>
        <v>2260</v>
      </c>
      <c r="AD203" s="502">
        <f t="shared" si="361"/>
        <v>0</v>
      </c>
      <c r="AE203" s="852">
        <f t="shared" si="361"/>
        <v>304588</v>
      </c>
      <c r="AF203" s="857">
        <f t="shared" si="361"/>
        <v>0</v>
      </c>
      <c r="AG203" s="848">
        <f t="shared" si="361"/>
        <v>0.59</v>
      </c>
      <c r="AH203" s="848">
        <f t="shared" si="361"/>
        <v>0</v>
      </c>
      <c r="AI203" s="848">
        <f t="shared" si="361"/>
        <v>0</v>
      </c>
      <c r="AJ203" s="848">
        <f t="shared" si="361"/>
        <v>0</v>
      </c>
      <c r="AK203" s="848">
        <f t="shared" si="361"/>
        <v>0</v>
      </c>
      <c r="AL203" s="613">
        <f t="shared" si="361"/>
        <v>0.59</v>
      </c>
      <c r="AM203" s="612">
        <f t="shared" si="361"/>
        <v>32682121</v>
      </c>
      <c r="AN203" s="502">
        <f t="shared" si="361"/>
        <v>24205193</v>
      </c>
      <c r="AO203" s="549">
        <f t="shared" si="361"/>
        <v>40000</v>
      </c>
      <c r="AP203" s="502">
        <f t="shared" si="361"/>
        <v>8194876</v>
      </c>
      <c r="AQ203" s="502">
        <f t="shared" si="361"/>
        <v>242052</v>
      </c>
      <c r="AR203" s="502">
        <f t="shared" si="361"/>
        <v>0</v>
      </c>
      <c r="AS203" s="613">
        <f t="shared" si="361"/>
        <v>37.233699999999999</v>
      </c>
    </row>
    <row r="204" spans="1:45" ht="14.1" customHeight="1" x14ac:dyDescent="0.2">
      <c r="A204" s="499">
        <v>51</v>
      </c>
      <c r="B204" s="511">
        <v>2310</v>
      </c>
      <c r="C204" s="512">
        <v>600080412</v>
      </c>
      <c r="D204" s="511">
        <v>72742038</v>
      </c>
      <c r="E204" s="510" t="s">
        <v>618</v>
      </c>
      <c r="F204" s="499">
        <v>3114</v>
      </c>
      <c r="G204" s="117" t="s">
        <v>511</v>
      </c>
      <c r="H204" s="495" t="s">
        <v>262</v>
      </c>
      <c r="I204" s="610">
        <v>26789430</v>
      </c>
      <c r="J204" s="14">
        <v>19873465</v>
      </c>
      <c r="K204" s="14">
        <v>0</v>
      </c>
      <c r="L204" s="14">
        <v>6717231</v>
      </c>
      <c r="M204" s="14">
        <v>198734</v>
      </c>
      <c r="N204" s="14">
        <v>0</v>
      </c>
      <c r="O204" s="121">
        <v>25.090800000000002</v>
      </c>
      <c r="P204" s="676">
        <f t="shared" si="244"/>
        <v>0</v>
      </c>
      <c r="Q204" s="492">
        <v>0</v>
      </c>
      <c r="R204" s="492">
        <v>0</v>
      </c>
      <c r="S204" s="492">
        <v>0</v>
      </c>
      <c r="T204" s="492">
        <v>0</v>
      </c>
      <c r="U204" s="492">
        <v>0</v>
      </c>
      <c r="V204" s="492">
        <f>P204+Q204+R204+S204+T204+U204</f>
        <v>0</v>
      </c>
      <c r="W204" s="492">
        <v>0</v>
      </c>
      <c r="X204" s="492">
        <v>0</v>
      </c>
      <c r="Y204" s="492">
        <v>0</v>
      </c>
      <c r="Z204" s="492">
        <f t="shared" ref="Z204:Z207" si="362">W204+X204+Y204</f>
        <v>0</v>
      </c>
      <c r="AA204" s="492">
        <f t="shared" ref="AA204:AA207" si="363">V204+Z204</f>
        <v>0</v>
      </c>
      <c r="AB204" s="494">
        <f t="shared" ref="AB204:AB207" si="364">ROUND((V204+Z204)*33.8%,0)</f>
        <v>0</v>
      </c>
      <c r="AC204" s="494">
        <f t="shared" ref="AC204:AC207" si="365">ROUND(V204*1%,0)</f>
        <v>0</v>
      </c>
      <c r="AD204" s="14">
        <v>0</v>
      </c>
      <c r="AE204" s="753">
        <f t="shared" si="247"/>
        <v>0</v>
      </c>
      <c r="AF204" s="858">
        <v>0</v>
      </c>
      <c r="AG204" s="491">
        <v>0</v>
      </c>
      <c r="AH204" s="491">
        <v>0</v>
      </c>
      <c r="AI204" s="491">
        <v>0</v>
      </c>
      <c r="AJ204" s="491">
        <v>0</v>
      </c>
      <c r="AK204" s="491">
        <v>0</v>
      </c>
      <c r="AL204" s="609">
        <f>SUM(AF204:AK204)</f>
        <v>0</v>
      </c>
      <c r="AM204" s="676">
        <f>I204+AE204</f>
        <v>26789430</v>
      </c>
      <c r="AN204" s="492">
        <f>J204+V204</f>
        <v>19873465</v>
      </c>
      <c r="AO204" s="492">
        <f t="shared" ref="AO204:AO207" si="366">K204+Z204</f>
        <v>0</v>
      </c>
      <c r="AP204" s="492">
        <f t="shared" ref="AP204:AR207" si="367">L204+AB204</f>
        <v>6717231</v>
      </c>
      <c r="AQ204" s="492">
        <f t="shared" si="367"/>
        <v>198734</v>
      </c>
      <c r="AR204" s="573">
        <f t="shared" si="367"/>
        <v>0</v>
      </c>
      <c r="AS204" s="609">
        <f>O204+AL204</f>
        <v>25.090800000000002</v>
      </c>
    </row>
    <row r="205" spans="1:45" ht="14.1" customHeight="1" x14ac:dyDescent="0.2">
      <c r="A205" s="499">
        <v>51</v>
      </c>
      <c r="B205" s="511">
        <v>2310</v>
      </c>
      <c r="C205" s="512">
        <v>600080412</v>
      </c>
      <c r="D205" s="511">
        <v>72742038</v>
      </c>
      <c r="E205" s="510" t="s">
        <v>618</v>
      </c>
      <c r="F205" s="499">
        <v>3114</v>
      </c>
      <c r="G205" s="39" t="s">
        <v>279</v>
      </c>
      <c r="H205" s="495" t="s">
        <v>262</v>
      </c>
      <c r="I205" s="610">
        <v>12893434</v>
      </c>
      <c r="J205" s="14">
        <v>9564862</v>
      </c>
      <c r="K205" s="14">
        <v>0</v>
      </c>
      <c r="L205" s="14">
        <v>3232923</v>
      </c>
      <c r="M205" s="14">
        <v>95649</v>
      </c>
      <c r="N205" s="14">
        <v>0</v>
      </c>
      <c r="O205" s="121">
        <v>22.306100000000001</v>
      </c>
      <c r="P205" s="676">
        <f t="shared" si="244"/>
        <v>0</v>
      </c>
      <c r="Q205" s="492">
        <v>0</v>
      </c>
      <c r="R205" s="492">
        <v>0</v>
      </c>
      <c r="S205" s="492">
        <v>0</v>
      </c>
      <c r="T205" s="492">
        <v>0</v>
      </c>
      <c r="U205" s="492">
        <v>0</v>
      </c>
      <c r="V205" s="492">
        <f>P205+Q205+R205+S205+T205+U205</f>
        <v>0</v>
      </c>
      <c r="W205" s="492">
        <v>0</v>
      </c>
      <c r="X205" s="492">
        <v>0</v>
      </c>
      <c r="Y205" s="492">
        <v>0</v>
      </c>
      <c r="Z205" s="492">
        <f t="shared" si="362"/>
        <v>0</v>
      </c>
      <c r="AA205" s="492">
        <f t="shared" si="363"/>
        <v>0</v>
      </c>
      <c r="AB205" s="494">
        <f t="shared" si="364"/>
        <v>0</v>
      </c>
      <c r="AC205" s="494">
        <f t="shared" si="365"/>
        <v>0</v>
      </c>
      <c r="AD205" s="14">
        <v>0</v>
      </c>
      <c r="AE205" s="753">
        <f t="shared" si="247"/>
        <v>0</v>
      </c>
      <c r="AF205" s="858">
        <v>0</v>
      </c>
      <c r="AG205" s="491">
        <v>0</v>
      </c>
      <c r="AH205" s="491">
        <v>0</v>
      </c>
      <c r="AI205" s="491">
        <v>0</v>
      </c>
      <c r="AJ205" s="491">
        <v>0</v>
      </c>
      <c r="AK205" s="491">
        <v>0</v>
      </c>
      <c r="AL205" s="609">
        <f>SUM(AF205:AK205)</f>
        <v>0</v>
      </c>
      <c r="AM205" s="676">
        <f>I205+AE205</f>
        <v>12893434</v>
      </c>
      <c r="AN205" s="492">
        <f>J205+V205</f>
        <v>9564862</v>
      </c>
      <c r="AO205" s="492">
        <f t="shared" si="366"/>
        <v>0</v>
      </c>
      <c r="AP205" s="492">
        <f t="shared" si="367"/>
        <v>3232923</v>
      </c>
      <c r="AQ205" s="492">
        <f t="shared" si="367"/>
        <v>95649</v>
      </c>
      <c r="AR205" s="573">
        <f t="shared" si="367"/>
        <v>0</v>
      </c>
      <c r="AS205" s="609">
        <f>O205+AL205</f>
        <v>22.306100000000001</v>
      </c>
    </row>
    <row r="206" spans="1:45" ht="14.1" customHeight="1" x14ac:dyDescent="0.2">
      <c r="A206" s="499">
        <v>51</v>
      </c>
      <c r="B206" s="511">
        <v>2310</v>
      </c>
      <c r="C206" s="512">
        <v>600080412</v>
      </c>
      <c r="D206" s="511">
        <v>72742038</v>
      </c>
      <c r="E206" s="510" t="s">
        <v>618</v>
      </c>
      <c r="F206" s="499">
        <v>3114</v>
      </c>
      <c r="G206" s="513" t="s">
        <v>278</v>
      </c>
      <c r="H206" s="495" t="s">
        <v>263</v>
      </c>
      <c r="I206" s="610">
        <v>0</v>
      </c>
      <c r="J206" s="490">
        <v>0</v>
      </c>
      <c r="K206" s="490">
        <v>0</v>
      </c>
      <c r="L206" s="14">
        <v>0</v>
      </c>
      <c r="M206" s="14">
        <v>0</v>
      </c>
      <c r="N206" s="14">
        <v>0</v>
      </c>
      <c r="O206" s="664">
        <v>0</v>
      </c>
      <c r="P206" s="676">
        <f t="shared" ref="P206:P269" si="368">W206*-1</f>
        <v>0</v>
      </c>
      <c r="Q206" s="492">
        <v>0</v>
      </c>
      <c r="R206" s="492">
        <v>0</v>
      </c>
      <c r="S206" s="492">
        <v>0</v>
      </c>
      <c r="T206" s="492">
        <v>0</v>
      </c>
      <c r="U206" s="492">
        <v>0</v>
      </c>
      <c r="V206" s="492">
        <f>P206+Q206+R206+S206+T206+U206</f>
        <v>0</v>
      </c>
      <c r="W206" s="492">
        <v>0</v>
      </c>
      <c r="X206" s="492">
        <v>0</v>
      </c>
      <c r="Y206" s="492">
        <v>0</v>
      </c>
      <c r="Z206" s="492">
        <f t="shared" si="362"/>
        <v>0</v>
      </c>
      <c r="AA206" s="492">
        <f t="shared" si="363"/>
        <v>0</v>
      </c>
      <c r="AB206" s="494">
        <f t="shared" si="364"/>
        <v>0</v>
      </c>
      <c r="AC206" s="494">
        <f t="shared" si="365"/>
        <v>0</v>
      </c>
      <c r="AD206" s="14">
        <v>0</v>
      </c>
      <c r="AE206" s="753">
        <f t="shared" ref="AE206:AE269" si="369">AA206+AB206+AC206+AD206</f>
        <v>0</v>
      </c>
      <c r="AF206" s="858">
        <v>0</v>
      </c>
      <c r="AG206" s="491">
        <v>0</v>
      </c>
      <c r="AH206" s="491">
        <v>0</v>
      </c>
      <c r="AI206" s="491">
        <v>0</v>
      </c>
      <c r="AJ206" s="491">
        <v>0</v>
      </c>
      <c r="AK206" s="491">
        <v>0</v>
      </c>
      <c r="AL206" s="609">
        <f>SUM(AF206:AK206)</f>
        <v>0</v>
      </c>
      <c r="AM206" s="676">
        <f>I206+AE206</f>
        <v>0</v>
      </c>
      <c r="AN206" s="492">
        <f>J206+V206</f>
        <v>0</v>
      </c>
      <c r="AO206" s="492">
        <f t="shared" si="366"/>
        <v>0</v>
      </c>
      <c r="AP206" s="492">
        <f t="shared" si="367"/>
        <v>0</v>
      </c>
      <c r="AQ206" s="492">
        <f t="shared" si="367"/>
        <v>0</v>
      </c>
      <c r="AR206" s="573">
        <f t="shared" si="367"/>
        <v>0</v>
      </c>
      <c r="AS206" s="609">
        <f>O206+AL206</f>
        <v>0</v>
      </c>
    </row>
    <row r="207" spans="1:45" ht="14.1" customHeight="1" x14ac:dyDescent="0.2">
      <c r="A207" s="499">
        <v>51</v>
      </c>
      <c r="B207" s="511">
        <v>2310</v>
      </c>
      <c r="C207" s="512">
        <v>600080412</v>
      </c>
      <c r="D207" s="511">
        <v>72742038</v>
      </c>
      <c r="E207" s="510" t="s">
        <v>618</v>
      </c>
      <c r="F207" s="499">
        <v>3143</v>
      </c>
      <c r="G207" s="513" t="s">
        <v>794</v>
      </c>
      <c r="H207" s="495" t="s">
        <v>262</v>
      </c>
      <c r="I207" s="610">
        <v>2434990</v>
      </c>
      <c r="J207" s="14">
        <v>1806372</v>
      </c>
      <c r="K207" s="14">
        <v>0</v>
      </c>
      <c r="L207" s="14">
        <v>610554</v>
      </c>
      <c r="M207" s="14">
        <v>18064</v>
      </c>
      <c r="N207" s="14">
        <v>0</v>
      </c>
      <c r="O207" s="121">
        <v>3.5</v>
      </c>
      <c r="P207" s="676">
        <f t="shared" si="368"/>
        <v>0</v>
      </c>
      <c r="Q207" s="492">
        <v>0</v>
      </c>
      <c r="R207" s="492">
        <v>0</v>
      </c>
      <c r="S207" s="492">
        <v>0</v>
      </c>
      <c r="T207" s="492">
        <v>0</v>
      </c>
      <c r="U207" s="492">
        <v>0</v>
      </c>
      <c r="V207" s="492">
        <f>P207+Q207+R207+S207+T207+U207</f>
        <v>0</v>
      </c>
      <c r="W207" s="492">
        <v>0</v>
      </c>
      <c r="X207" s="492">
        <v>0</v>
      </c>
      <c r="Y207" s="492">
        <v>0</v>
      </c>
      <c r="Z207" s="492">
        <f t="shared" si="362"/>
        <v>0</v>
      </c>
      <c r="AA207" s="492">
        <f t="shared" si="363"/>
        <v>0</v>
      </c>
      <c r="AB207" s="494">
        <f t="shared" si="364"/>
        <v>0</v>
      </c>
      <c r="AC207" s="494">
        <f t="shared" si="365"/>
        <v>0</v>
      </c>
      <c r="AD207" s="14">
        <v>0</v>
      </c>
      <c r="AE207" s="753">
        <f t="shared" si="369"/>
        <v>0</v>
      </c>
      <c r="AF207" s="858">
        <v>0</v>
      </c>
      <c r="AG207" s="491">
        <v>0</v>
      </c>
      <c r="AH207" s="491">
        <v>0</v>
      </c>
      <c r="AI207" s="491">
        <v>0</v>
      </c>
      <c r="AJ207" s="491">
        <v>0</v>
      </c>
      <c r="AK207" s="491">
        <v>0</v>
      </c>
      <c r="AL207" s="609">
        <f>SUM(AF207:AK207)</f>
        <v>0</v>
      </c>
      <c r="AM207" s="676">
        <f>I207+AE207</f>
        <v>2434990</v>
      </c>
      <c r="AN207" s="492">
        <f>J207+V207</f>
        <v>1806372</v>
      </c>
      <c r="AO207" s="492">
        <f t="shared" si="366"/>
        <v>0</v>
      </c>
      <c r="AP207" s="492">
        <f t="shared" si="367"/>
        <v>610554</v>
      </c>
      <c r="AQ207" s="492">
        <f t="shared" si="367"/>
        <v>18064</v>
      </c>
      <c r="AR207" s="573">
        <f t="shared" si="367"/>
        <v>0</v>
      </c>
      <c r="AS207" s="609">
        <f>O207+AL207</f>
        <v>3.5</v>
      </c>
    </row>
    <row r="208" spans="1:45" ht="14.1" customHeight="1" x14ac:dyDescent="0.2">
      <c r="A208" s="509">
        <v>51</v>
      </c>
      <c r="B208" s="507">
        <v>2310</v>
      </c>
      <c r="C208" s="508">
        <v>600080412</v>
      </c>
      <c r="D208" s="507">
        <v>72742038</v>
      </c>
      <c r="E208" s="505" t="s">
        <v>619</v>
      </c>
      <c r="F208" s="509"/>
      <c r="G208" s="505"/>
      <c r="H208" s="504"/>
      <c r="I208" s="612">
        <v>42117854</v>
      </c>
      <c r="J208" s="503">
        <v>31244699</v>
      </c>
      <c r="K208" s="503">
        <v>0</v>
      </c>
      <c r="L208" s="503">
        <v>10560708</v>
      </c>
      <c r="M208" s="503">
        <v>312447</v>
      </c>
      <c r="N208" s="503">
        <v>0</v>
      </c>
      <c r="O208" s="837">
        <v>50.896900000000002</v>
      </c>
      <c r="P208" s="612">
        <f t="shared" ref="P208:AS208" si="370">SUM(P204:P207)</f>
        <v>0</v>
      </c>
      <c r="Q208" s="502">
        <f t="shared" si="370"/>
        <v>0</v>
      </c>
      <c r="R208" s="502">
        <f t="shared" si="370"/>
        <v>0</v>
      </c>
      <c r="S208" s="502">
        <f t="shared" si="370"/>
        <v>0</v>
      </c>
      <c r="T208" s="502">
        <f t="shared" si="370"/>
        <v>0</v>
      </c>
      <c r="U208" s="502">
        <f t="shared" si="370"/>
        <v>0</v>
      </c>
      <c r="V208" s="502">
        <f t="shared" si="370"/>
        <v>0</v>
      </c>
      <c r="W208" s="502">
        <f t="shared" si="370"/>
        <v>0</v>
      </c>
      <c r="X208" s="502">
        <f t="shared" si="370"/>
        <v>0</v>
      </c>
      <c r="Y208" s="502">
        <f t="shared" si="370"/>
        <v>0</v>
      </c>
      <c r="Z208" s="502">
        <f t="shared" si="370"/>
        <v>0</v>
      </c>
      <c r="AA208" s="502">
        <f t="shared" si="370"/>
        <v>0</v>
      </c>
      <c r="AB208" s="502">
        <f t="shared" si="370"/>
        <v>0</v>
      </c>
      <c r="AC208" s="502">
        <f t="shared" si="370"/>
        <v>0</v>
      </c>
      <c r="AD208" s="502">
        <f t="shared" si="370"/>
        <v>0</v>
      </c>
      <c r="AE208" s="852">
        <f t="shared" si="370"/>
        <v>0</v>
      </c>
      <c r="AF208" s="857">
        <f t="shared" si="370"/>
        <v>0</v>
      </c>
      <c r="AG208" s="848">
        <f t="shared" si="370"/>
        <v>0</v>
      </c>
      <c r="AH208" s="848">
        <f t="shared" si="370"/>
        <v>0</v>
      </c>
      <c r="AI208" s="848">
        <f t="shared" si="370"/>
        <v>0</v>
      </c>
      <c r="AJ208" s="848">
        <f t="shared" si="370"/>
        <v>0</v>
      </c>
      <c r="AK208" s="848">
        <f t="shared" si="370"/>
        <v>0</v>
      </c>
      <c r="AL208" s="613">
        <f t="shared" si="370"/>
        <v>0</v>
      </c>
      <c r="AM208" s="612">
        <f t="shared" si="370"/>
        <v>42117854</v>
      </c>
      <c r="AN208" s="502">
        <f t="shared" si="370"/>
        <v>31244699</v>
      </c>
      <c r="AO208" s="549">
        <f t="shared" si="370"/>
        <v>0</v>
      </c>
      <c r="AP208" s="502">
        <f t="shared" si="370"/>
        <v>10560708</v>
      </c>
      <c r="AQ208" s="502">
        <f t="shared" si="370"/>
        <v>312447</v>
      </c>
      <c r="AR208" s="502">
        <f t="shared" si="370"/>
        <v>0</v>
      </c>
      <c r="AS208" s="613">
        <f t="shared" si="370"/>
        <v>50.896900000000002</v>
      </c>
    </row>
    <row r="209" spans="1:45" ht="14.1" customHeight="1" x14ac:dyDescent="0.2">
      <c r="A209" s="499">
        <v>52</v>
      </c>
      <c r="B209" s="511">
        <v>2313</v>
      </c>
      <c r="C209" s="512">
        <v>600080323</v>
      </c>
      <c r="D209" s="511">
        <v>64040445</v>
      </c>
      <c r="E209" s="510" t="s">
        <v>620</v>
      </c>
      <c r="F209" s="499">
        <v>3231</v>
      </c>
      <c r="G209" s="510" t="s">
        <v>281</v>
      </c>
      <c r="H209" s="495" t="s">
        <v>262</v>
      </c>
      <c r="I209" s="610">
        <v>62302537</v>
      </c>
      <c r="J209" s="14">
        <v>46198648</v>
      </c>
      <c r="K209" s="14">
        <v>20000</v>
      </c>
      <c r="L209" s="14">
        <v>15621903</v>
      </c>
      <c r="M209" s="14">
        <v>461986</v>
      </c>
      <c r="N209" s="14">
        <v>0</v>
      </c>
      <c r="O209" s="664">
        <v>69.268699999999995</v>
      </c>
      <c r="P209" s="676">
        <f t="shared" si="368"/>
        <v>0</v>
      </c>
      <c r="Q209" s="492">
        <v>0</v>
      </c>
      <c r="R209" s="492">
        <v>0</v>
      </c>
      <c r="S209" s="492">
        <v>0</v>
      </c>
      <c r="T209" s="492">
        <v>0</v>
      </c>
      <c r="U209" s="492">
        <v>0</v>
      </c>
      <c r="V209" s="492">
        <f>P209+Q209+R209+S209+T209+U209</f>
        <v>0</v>
      </c>
      <c r="W209" s="492">
        <v>0</v>
      </c>
      <c r="X209" s="492">
        <v>0</v>
      </c>
      <c r="Y209" s="492">
        <v>0</v>
      </c>
      <c r="Z209" s="492">
        <f>W209+X209+Y209</f>
        <v>0</v>
      </c>
      <c r="AA209" s="492">
        <f>V209+Z209</f>
        <v>0</v>
      </c>
      <c r="AB209" s="494">
        <f>ROUND((V209+Z209)*33.8%,0)</f>
        <v>0</v>
      </c>
      <c r="AC209" s="494">
        <f>ROUND(V209*1%,0)</f>
        <v>0</v>
      </c>
      <c r="AD209" s="14">
        <v>0</v>
      </c>
      <c r="AE209" s="753">
        <f t="shared" si="369"/>
        <v>0</v>
      </c>
      <c r="AF209" s="858">
        <v>0</v>
      </c>
      <c r="AG209" s="491">
        <v>0</v>
      </c>
      <c r="AH209" s="491">
        <v>0</v>
      </c>
      <c r="AI209" s="491">
        <v>0</v>
      </c>
      <c r="AJ209" s="491">
        <v>0</v>
      </c>
      <c r="AK209" s="491">
        <v>0</v>
      </c>
      <c r="AL209" s="609">
        <f>SUM(AF209:AK209)</f>
        <v>0</v>
      </c>
      <c r="AM209" s="676">
        <f>I209+AE209</f>
        <v>62302537</v>
      </c>
      <c r="AN209" s="492">
        <f>J209+V209</f>
        <v>46198648</v>
      </c>
      <c r="AO209" s="492">
        <f>K209+Z209</f>
        <v>20000</v>
      </c>
      <c r="AP209" s="492">
        <f>L209+AB209</f>
        <v>15621903</v>
      </c>
      <c r="AQ209" s="492">
        <f>M209+AC209</f>
        <v>461986</v>
      </c>
      <c r="AR209" s="573">
        <f>N209+AD209</f>
        <v>0</v>
      </c>
      <c r="AS209" s="609">
        <f>O209+AL209</f>
        <v>69.268699999999995</v>
      </c>
    </row>
    <row r="210" spans="1:45" ht="14.1" customHeight="1" x14ac:dyDescent="0.2">
      <c r="A210" s="509">
        <v>52</v>
      </c>
      <c r="B210" s="507">
        <v>2313</v>
      </c>
      <c r="C210" s="508">
        <v>600080323</v>
      </c>
      <c r="D210" s="507">
        <v>64040445</v>
      </c>
      <c r="E210" s="505" t="s">
        <v>621</v>
      </c>
      <c r="F210" s="509"/>
      <c r="G210" s="505"/>
      <c r="H210" s="504"/>
      <c r="I210" s="615">
        <v>62302537</v>
      </c>
      <c r="J210" s="517">
        <v>46198648</v>
      </c>
      <c r="K210" s="517">
        <v>20000</v>
      </c>
      <c r="L210" s="517">
        <v>15621903</v>
      </c>
      <c r="M210" s="517">
        <v>461986</v>
      </c>
      <c r="N210" s="517">
        <v>0</v>
      </c>
      <c r="O210" s="838">
        <v>69.268699999999995</v>
      </c>
      <c r="P210" s="615">
        <f t="shared" ref="P210:AO210" si="371">SUM(P209)</f>
        <v>0</v>
      </c>
      <c r="Q210" s="516">
        <f t="shared" si="371"/>
        <v>0</v>
      </c>
      <c r="R210" s="516">
        <f t="shared" si="371"/>
        <v>0</v>
      </c>
      <c r="S210" s="516">
        <f t="shared" si="371"/>
        <v>0</v>
      </c>
      <c r="T210" s="516">
        <f t="shared" si="371"/>
        <v>0</v>
      </c>
      <c r="U210" s="516">
        <f t="shared" si="371"/>
        <v>0</v>
      </c>
      <c r="V210" s="516">
        <f t="shared" si="371"/>
        <v>0</v>
      </c>
      <c r="W210" s="516">
        <f t="shared" si="371"/>
        <v>0</v>
      </c>
      <c r="X210" s="516">
        <f t="shared" si="371"/>
        <v>0</v>
      </c>
      <c r="Y210" s="516">
        <f t="shared" si="371"/>
        <v>0</v>
      </c>
      <c r="Z210" s="516">
        <f t="shared" si="371"/>
        <v>0</v>
      </c>
      <c r="AA210" s="516">
        <f t="shared" si="371"/>
        <v>0</v>
      </c>
      <c r="AB210" s="516">
        <f t="shared" si="371"/>
        <v>0</v>
      </c>
      <c r="AC210" s="516">
        <f t="shared" si="371"/>
        <v>0</v>
      </c>
      <c r="AD210" s="516">
        <f t="shared" si="371"/>
        <v>0</v>
      </c>
      <c r="AE210" s="853">
        <f t="shared" si="371"/>
        <v>0</v>
      </c>
      <c r="AF210" s="859">
        <f t="shared" si="371"/>
        <v>0</v>
      </c>
      <c r="AG210" s="849">
        <f t="shared" si="371"/>
        <v>0</v>
      </c>
      <c r="AH210" s="849">
        <f t="shared" si="371"/>
        <v>0</v>
      </c>
      <c r="AI210" s="849">
        <f t="shared" si="371"/>
        <v>0</v>
      </c>
      <c r="AJ210" s="849">
        <f t="shared" si="371"/>
        <v>0</v>
      </c>
      <c r="AK210" s="849">
        <f t="shared" si="371"/>
        <v>0</v>
      </c>
      <c r="AL210" s="616">
        <f t="shared" si="371"/>
        <v>0</v>
      </c>
      <c r="AM210" s="615">
        <f t="shared" si="371"/>
        <v>62302537</v>
      </c>
      <c r="AN210" s="516">
        <f t="shared" si="371"/>
        <v>46198648</v>
      </c>
      <c r="AO210" s="550">
        <f t="shared" si="371"/>
        <v>20000</v>
      </c>
      <c r="AP210" s="516">
        <f t="shared" ref="AP210:AS210" si="372">SUM(AP209)</f>
        <v>15621903</v>
      </c>
      <c r="AQ210" s="516">
        <f t="shared" si="372"/>
        <v>461986</v>
      </c>
      <c r="AR210" s="516">
        <f t="shared" si="372"/>
        <v>0</v>
      </c>
      <c r="AS210" s="616">
        <f t="shared" si="372"/>
        <v>69.268699999999995</v>
      </c>
    </row>
    <row r="211" spans="1:45" ht="14.1" customHeight="1" x14ac:dyDescent="0.2">
      <c r="A211" s="499">
        <v>53</v>
      </c>
      <c r="B211" s="511">
        <v>2431</v>
      </c>
      <c r="C211" s="512">
        <v>600079228</v>
      </c>
      <c r="D211" s="511">
        <v>46746234</v>
      </c>
      <c r="E211" s="510" t="s">
        <v>622</v>
      </c>
      <c r="F211" s="499">
        <v>3111</v>
      </c>
      <c r="G211" s="510" t="s">
        <v>277</v>
      </c>
      <c r="H211" s="495" t="s">
        <v>262</v>
      </c>
      <c r="I211" s="610">
        <v>7471673</v>
      </c>
      <c r="J211" s="14">
        <v>5542784</v>
      </c>
      <c r="K211" s="14">
        <v>0</v>
      </c>
      <c r="L211" s="14">
        <v>1873461</v>
      </c>
      <c r="M211" s="14">
        <v>55428</v>
      </c>
      <c r="N211" s="14">
        <v>0</v>
      </c>
      <c r="O211" s="121">
        <v>8.4515999999999991</v>
      </c>
      <c r="P211" s="676">
        <f t="shared" si="368"/>
        <v>0</v>
      </c>
      <c r="Q211" s="492">
        <v>0</v>
      </c>
      <c r="R211" s="492">
        <v>0</v>
      </c>
      <c r="S211" s="492">
        <v>0</v>
      </c>
      <c r="T211" s="492">
        <v>0</v>
      </c>
      <c r="U211" s="492">
        <v>0</v>
      </c>
      <c r="V211" s="492">
        <f>P211+Q211+R211+S211+T211+U211</f>
        <v>0</v>
      </c>
      <c r="W211" s="492">
        <v>0</v>
      </c>
      <c r="X211" s="492">
        <v>0</v>
      </c>
      <c r="Y211" s="492">
        <v>0</v>
      </c>
      <c r="Z211" s="492">
        <f t="shared" ref="Z211:Z212" si="373">W211+X211+Y211</f>
        <v>0</v>
      </c>
      <c r="AA211" s="492">
        <f t="shared" ref="AA211:AA212" si="374">V211+Z211</f>
        <v>0</v>
      </c>
      <c r="AB211" s="494">
        <f t="shared" ref="AB211:AB212" si="375">ROUND((V211+Z211)*33.8%,0)</f>
        <v>0</v>
      </c>
      <c r="AC211" s="494">
        <f>ROUND(V211*1%,0)</f>
        <v>0</v>
      </c>
      <c r="AD211" s="14">
        <v>0</v>
      </c>
      <c r="AE211" s="753">
        <f t="shared" si="369"/>
        <v>0</v>
      </c>
      <c r="AF211" s="858">
        <v>0</v>
      </c>
      <c r="AG211" s="491">
        <v>0</v>
      </c>
      <c r="AH211" s="491">
        <v>0</v>
      </c>
      <c r="AI211" s="491">
        <v>0</v>
      </c>
      <c r="AJ211" s="491">
        <v>0</v>
      </c>
      <c r="AK211" s="491">
        <v>0</v>
      </c>
      <c r="AL211" s="609">
        <f>SUM(AF211:AK211)</f>
        <v>0</v>
      </c>
      <c r="AM211" s="676">
        <f>I211+AE211</f>
        <v>7471673</v>
      </c>
      <c r="AN211" s="492">
        <f>J211+V211</f>
        <v>5542784</v>
      </c>
      <c r="AO211" s="492">
        <f t="shared" ref="AO211:AO212" si="376">K211+Z211</f>
        <v>0</v>
      </c>
      <c r="AP211" s="492">
        <f t="shared" ref="AP211:AR212" si="377">L211+AB211</f>
        <v>1873461</v>
      </c>
      <c r="AQ211" s="492">
        <f t="shared" si="377"/>
        <v>55428</v>
      </c>
      <c r="AR211" s="573">
        <f t="shared" si="377"/>
        <v>0</v>
      </c>
      <c r="AS211" s="609">
        <f>O211+AL211</f>
        <v>8.4515999999999991</v>
      </c>
    </row>
    <row r="212" spans="1:45" ht="14.1" customHeight="1" x14ac:dyDescent="0.2">
      <c r="A212" s="499">
        <v>53</v>
      </c>
      <c r="B212" s="511">
        <v>2431</v>
      </c>
      <c r="C212" s="512">
        <v>600079228</v>
      </c>
      <c r="D212" s="511">
        <v>46746234</v>
      </c>
      <c r="E212" s="510" t="s">
        <v>622</v>
      </c>
      <c r="F212" s="499">
        <v>3111</v>
      </c>
      <c r="G212" s="513" t="s">
        <v>278</v>
      </c>
      <c r="H212" s="495" t="s">
        <v>263</v>
      </c>
      <c r="I212" s="610">
        <v>475518</v>
      </c>
      <c r="J212" s="490">
        <v>352758</v>
      </c>
      <c r="K212" s="490">
        <v>0</v>
      </c>
      <c r="L212" s="14">
        <v>119232</v>
      </c>
      <c r="M212" s="14">
        <v>3528</v>
      </c>
      <c r="N212" s="14">
        <v>0</v>
      </c>
      <c r="O212" s="664">
        <v>0.89</v>
      </c>
      <c r="P212" s="676">
        <f t="shared" si="368"/>
        <v>0</v>
      </c>
      <c r="Q212" s="492">
        <v>297635</v>
      </c>
      <c r="R212" s="492">
        <v>0</v>
      </c>
      <c r="S212" s="492">
        <v>0</v>
      </c>
      <c r="T212" s="492">
        <v>0</v>
      </c>
      <c r="U212" s="492">
        <v>0</v>
      </c>
      <c r="V212" s="492">
        <f>P212+Q212+R212+S212+T212+U212</f>
        <v>297635</v>
      </c>
      <c r="W212" s="492">
        <v>0</v>
      </c>
      <c r="X212" s="492">
        <v>0</v>
      </c>
      <c r="Y212" s="492">
        <v>0</v>
      </c>
      <c r="Z212" s="492">
        <f t="shared" si="373"/>
        <v>0</v>
      </c>
      <c r="AA212" s="492">
        <f t="shared" si="374"/>
        <v>297635</v>
      </c>
      <c r="AB212" s="494">
        <f t="shared" si="375"/>
        <v>100601</v>
      </c>
      <c r="AC212" s="494">
        <f>ROUND(V212*1%,0)</f>
        <v>2976</v>
      </c>
      <c r="AD212" s="14">
        <v>0</v>
      </c>
      <c r="AE212" s="753">
        <f t="shared" si="369"/>
        <v>401212</v>
      </c>
      <c r="AF212" s="858">
        <v>0</v>
      </c>
      <c r="AG212" s="491">
        <v>0.75</v>
      </c>
      <c r="AH212" s="491">
        <v>0</v>
      </c>
      <c r="AI212" s="491">
        <v>0</v>
      </c>
      <c r="AJ212" s="491">
        <v>0</v>
      </c>
      <c r="AK212" s="491">
        <v>0</v>
      </c>
      <c r="AL212" s="609">
        <f>SUM(AF212:AK212)</f>
        <v>0.75</v>
      </c>
      <c r="AM212" s="676">
        <f>I212+AE212</f>
        <v>876730</v>
      </c>
      <c r="AN212" s="492">
        <f>J212+V212</f>
        <v>650393</v>
      </c>
      <c r="AO212" s="492">
        <f t="shared" si="376"/>
        <v>0</v>
      </c>
      <c r="AP212" s="492">
        <f t="shared" si="377"/>
        <v>219833</v>
      </c>
      <c r="AQ212" s="492">
        <f t="shared" si="377"/>
        <v>6504</v>
      </c>
      <c r="AR212" s="573">
        <f t="shared" si="377"/>
        <v>0</v>
      </c>
      <c r="AS212" s="609">
        <f>O212+AL212</f>
        <v>1.6400000000000001</v>
      </c>
    </row>
    <row r="213" spans="1:45" ht="14.1" customHeight="1" x14ac:dyDescent="0.2">
      <c r="A213" s="509">
        <v>53</v>
      </c>
      <c r="B213" s="507">
        <v>2431</v>
      </c>
      <c r="C213" s="508">
        <v>600079228</v>
      </c>
      <c r="D213" s="507">
        <v>46746234</v>
      </c>
      <c r="E213" s="505" t="s">
        <v>623</v>
      </c>
      <c r="F213" s="509"/>
      <c r="G213" s="505"/>
      <c r="H213" s="504"/>
      <c r="I213" s="612">
        <v>7947191</v>
      </c>
      <c r="J213" s="503">
        <v>5895542</v>
      </c>
      <c r="K213" s="503">
        <v>0</v>
      </c>
      <c r="L213" s="503">
        <v>1992693</v>
      </c>
      <c r="M213" s="503">
        <v>58956</v>
      </c>
      <c r="N213" s="503">
        <v>0</v>
      </c>
      <c r="O213" s="837">
        <v>9.3415999999999997</v>
      </c>
      <c r="P213" s="612">
        <f t="shared" ref="P213:AS213" si="378">SUM(P211:P212)</f>
        <v>0</v>
      </c>
      <c r="Q213" s="502">
        <f t="shared" si="378"/>
        <v>297635</v>
      </c>
      <c r="R213" s="502">
        <f t="shared" si="378"/>
        <v>0</v>
      </c>
      <c r="S213" s="502">
        <f t="shared" si="378"/>
        <v>0</v>
      </c>
      <c r="T213" s="502">
        <f t="shared" si="378"/>
        <v>0</v>
      </c>
      <c r="U213" s="502">
        <f t="shared" si="378"/>
        <v>0</v>
      </c>
      <c r="V213" s="502">
        <f t="shared" si="378"/>
        <v>297635</v>
      </c>
      <c r="W213" s="502">
        <f t="shared" si="378"/>
        <v>0</v>
      </c>
      <c r="X213" s="502">
        <f t="shared" si="378"/>
        <v>0</v>
      </c>
      <c r="Y213" s="502">
        <f t="shared" si="378"/>
        <v>0</v>
      </c>
      <c r="Z213" s="502">
        <f t="shared" si="378"/>
        <v>0</v>
      </c>
      <c r="AA213" s="502">
        <f t="shared" si="378"/>
        <v>297635</v>
      </c>
      <c r="AB213" s="502">
        <f t="shared" si="378"/>
        <v>100601</v>
      </c>
      <c r="AC213" s="502">
        <f t="shared" si="378"/>
        <v>2976</v>
      </c>
      <c r="AD213" s="502">
        <f t="shared" si="378"/>
        <v>0</v>
      </c>
      <c r="AE213" s="852">
        <f t="shared" si="378"/>
        <v>401212</v>
      </c>
      <c r="AF213" s="857">
        <f t="shared" si="378"/>
        <v>0</v>
      </c>
      <c r="AG213" s="848">
        <f t="shared" si="378"/>
        <v>0.75</v>
      </c>
      <c r="AH213" s="848">
        <f t="shared" si="378"/>
        <v>0</v>
      </c>
      <c r="AI213" s="848">
        <f t="shared" si="378"/>
        <v>0</v>
      </c>
      <c r="AJ213" s="848">
        <f t="shared" si="378"/>
        <v>0</v>
      </c>
      <c r="AK213" s="848">
        <f t="shared" si="378"/>
        <v>0</v>
      </c>
      <c r="AL213" s="613">
        <f t="shared" si="378"/>
        <v>0.75</v>
      </c>
      <c r="AM213" s="612">
        <f t="shared" si="378"/>
        <v>8348403</v>
      </c>
      <c r="AN213" s="502">
        <f t="shared" si="378"/>
        <v>6193177</v>
      </c>
      <c r="AO213" s="549">
        <f t="shared" si="378"/>
        <v>0</v>
      </c>
      <c r="AP213" s="502">
        <f t="shared" si="378"/>
        <v>2093294</v>
      </c>
      <c r="AQ213" s="502">
        <f t="shared" si="378"/>
        <v>61932</v>
      </c>
      <c r="AR213" s="502">
        <f t="shared" si="378"/>
        <v>0</v>
      </c>
      <c r="AS213" s="613">
        <f t="shared" si="378"/>
        <v>10.0916</v>
      </c>
    </row>
    <row r="214" spans="1:45" ht="11.25" customHeight="1" x14ac:dyDescent="0.2">
      <c r="A214" s="499">
        <v>54</v>
      </c>
      <c r="B214" s="511">
        <v>2434</v>
      </c>
      <c r="C214" s="512">
        <v>600079317</v>
      </c>
      <c r="D214" s="511">
        <v>46746480</v>
      </c>
      <c r="E214" s="510" t="s">
        <v>624</v>
      </c>
      <c r="F214" s="499">
        <v>3111</v>
      </c>
      <c r="G214" s="510" t="s">
        <v>277</v>
      </c>
      <c r="H214" s="495" t="s">
        <v>262</v>
      </c>
      <c r="I214" s="610">
        <v>13481934</v>
      </c>
      <c r="J214" s="14">
        <v>10001435</v>
      </c>
      <c r="K214" s="14">
        <v>0</v>
      </c>
      <c r="L214" s="14">
        <v>3380485</v>
      </c>
      <c r="M214" s="14">
        <v>100014</v>
      </c>
      <c r="N214" s="14">
        <v>0</v>
      </c>
      <c r="O214" s="121">
        <v>16</v>
      </c>
      <c r="P214" s="676">
        <f t="shared" si="368"/>
        <v>0</v>
      </c>
      <c r="Q214" s="492">
        <v>0</v>
      </c>
      <c r="R214" s="492">
        <v>0</v>
      </c>
      <c r="S214" s="492">
        <v>0</v>
      </c>
      <c r="T214" s="492">
        <v>0</v>
      </c>
      <c r="U214" s="492">
        <v>0</v>
      </c>
      <c r="V214" s="492">
        <f>P214+Q214+R214+S214+T214+U214</f>
        <v>0</v>
      </c>
      <c r="W214" s="492">
        <v>0</v>
      </c>
      <c r="X214" s="492">
        <v>0</v>
      </c>
      <c r="Y214" s="492">
        <v>0</v>
      </c>
      <c r="Z214" s="492">
        <f t="shared" ref="Z214:Z215" si="379">W214+X214+Y214</f>
        <v>0</v>
      </c>
      <c r="AA214" s="492">
        <f t="shared" ref="AA214:AA215" si="380">V214+Z214</f>
        <v>0</v>
      </c>
      <c r="AB214" s="494">
        <f t="shared" ref="AB214:AB215" si="381">ROUND((V214+Z214)*33.8%,0)</f>
        <v>0</v>
      </c>
      <c r="AC214" s="494">
        <f>ROUND(V214*1%,0)</f>
        <v>0</v>
      </c>
      <c r="AD214" s="14">
        <v>0</v>
      </c>
      <c r="AE214" s="753">
        <f t="shared" si="369"/>
        <v>0</v>
      </c>
      <c r="AF214" s="858">
        <v>0</v>
      </c>
      <c r="AG214" s="491">
        <v>0</v>
      </c>
      <c r="AH214" s="491">
        <v>0</v>
      </c>
      <c r="AI214" s="491">
        <v>0</v>
      </c>
      <c r="AJ214" s="491">
        <v>0</v>
      </c>
      <c r="AK214" s="491">
        <v>0</v>
      </c>
      <c r="AL214" s="609">
        <f>SUM(AF214:AK214)</f>
        <v>0</v>
      </c>
      <c r="AM214" s="676">
        <f>I214+AE214</f>
        <v>13481934</v>
      </c>
      <c r="AN214" s="492">
        <f>J214+V214</f>
        <v>10001435</v>
      </c>
      <c r="AO214" s="492">
        <f t="shared" ref="AO214:AO215" si="382">K214+Z214</f>
        <v>0</v>
      </c>
      <c r="AP214" s="492">
        <f t="shared" ref="AP214:AR215" si="383">L214+AB214</f>
        <v>3380485</v>
      </c>
      <c r="AQ214" s="492">
        <f t="shared" si="383"/>
        <v>100014</v>
      </c>
      <c r="AR214" s="573">
        <f t="shared" si="383"/>
        <v>0</v>
      </c>
      <c r="AS214" s="609">
        <f>O214+AL214</f>
        <v>16</v>
      </c>
    </row>
    <row r="215" spans="1:45" ht="14.1" customHeight="1" x14ac:dyDescent="0.2">
      <c r="A215" s="499">
        <v>54</v>
      </c>
      <c r="B215" s="511">
        <v>2434</v>
      </c>
      <c r="C215" s="512">
        <v>600079317</v>
      </c>
      <c r="D215" s="511">
        <v>46746480</v>
      </c>
      <c r="E215" s="510" t="s">
        <v>624</v>
      </c>
      <c r="F215" s="499">
        <v>3111</v>
      </c>
      <c r="G215" s="513" t="s">
        <v>278</v>
      </c>
      <c r="H215" s="495" t="s">
        <v>263</v>
      </c>
      <c r="I215" s="610">
        <v>1069900</v>
      </c>
      <c r="J215" s="490">
        <v>793694</v>
      </c>
      <c r="K215" s="490">
        <v>0</v>
      </c>
      <c r="L215" s="14">
        <v>268269</v>
      </c>
      <c r="M215" s="14">
        <v>7937</v>
      </c>
      <c r="N215" s="14">
        <v>0</v>
      </c>
      <c r="O215" s="664">
        <v>2</v>
      </c>
      <c r="P215" s="676">
        <f t="shared" si="368"/>
        <v>0</v>
      </c>
      <c r="Q215" s="492">
        <v>165353</v>
      </c>
      <c r="R215" s="492">
        <v>0</v>
      </c>
      <c r="S215" s="492">
        <v>0</v>
      </c>
      <c r="T215" s="492">
        <v>0</v>
      </c>
      <c r="U215" s="492">
        <v>0</v>
      </c>
      <c r="V215" s="492">
        <f>P215+Q215+R215+S215+T215+U215</f>
        <v>165353</v>
      </c>
      <c r="W215" s="492">
        <v>0</v>
      </c>
      <c r="X215" s="492">
        <v>0</v>
      </c>
      <c r="Y215" s="492">
        <v>0</v>
      </c>
      <c r="Z215" s="492">
        <f t="shared" si="379"/>
        <v>0</v>
      </c>
      <c r="AA215" s="492">
        <f t="shared" si="380"/>
        <v>165353</v>
      </c>
      <c r="AB215" s="494">
        <f t="shared" si="381"/>
        <v>55889</v>
      </c>
      <c r="AC215" s="494">
        <f>ROUND(V215*1%,0)</f>
        <v>1654</v>
      </c>
      <c r="AD215" s="14">
        <v>0</v>
      </c>
      <c r="AE215" s="753">
        <f t="shared" si="369"/>
        <v>222896</v>
      </c>
      <c r="AF215" s="858">
        <v>0</v>
      </c>
      <c r="AG215" s="491">
        <v>0.42</v>
      </c>
      <c r="AH215" s="491">
        <v>0</v>
      </c>
      <c r="AI215" s="491">
        <v>0</v>
      </c>
      <c r="AJ215" s="491">
        <v>0</v>
      </c>
      <c r="AK215" s="491">
        <v>0</v>
      </c>
      <c r="AL215" s="609">
        <f>SUM(AF215:AK215)</f>
        <v>0.42</v>
      </c>
      <c r="AM215" s="676">
        <f>I215+AE215</f>
        <v>1292796</v>
      </c>
      <c r="AN215" s="492">
        <f>J215+V215</f>
        <v>959047</v>
      </c>
      <c r="AO215" s="492">
        <f t="shared" si="382"/>
        <v>0</v>
      </c>
      <c r="AP215" s="492">
        <f t="shared" si="383"/>
        <v>324158</v>
      </c>
      <c r="AQ215" s="492">
        <f t="shared" si="383"/>
        <v>9591</v>
      </c>
      <c r="AR215" s="573">
        <f t="shared" si="383"/>
        <v>0</v>
      </c>
      <c r="AS215" s="609">
        <f>O215+AL215</f>
        <v>2.42</v>
      </c>
    </row>
    <row r="216" spans="1:45" ht="14.1" customHeight="1" x14ac:dyDescent="0.2">
      <c r="A216" s="509">
        <v>54</v>
      </c>
      <c r="B216" s="507">
        <v>2434</v>
      </c>
      <c r="C216" s="508">
        <v>600079317</v>
      </c>
      <c r="D216" s="507">
        <v>46746480</v>
      </c>
      <c r="E216" s="505" t="s">
        <v>625</v>
      </c>
      <c r="F216" s="509"/>
      <c r="G216" s="505"/>
      <c r="H216" s="504"/>
      <c r="I216" s="612">
        <v>14551834</v>
      </c>
      <c r="J216" s="503">
        <v>10795129</v>
      </c>
      <c r="K216" s="503">
        <v>0</v>
      </c>
      <c r="L216" s="503">
        <v>3648754</v>
      </c>
      <c r="M216" s="503">
        <v>107951</v>
      </c>
      <c r="N216" s="503">
        <v>0</v>
      </c>
      <c r="O216" s="837">
        <v>18</v>
      </c>
      <c r="P216" s="612">
        <f t="shared" ref="P216:AS216" si="384">SUM(P214:P215)</f>
        <v>0</v>
      </c>
      <c r="Q216" s="502">
        <f t="shared" si="384"/>
        <v>165353</v>
      </c>
      <c r="R216" s="502">
        <f t="shared" si="384"/>
        <v>0</v>
      </c>
      <c r="S216" s="502">
        <f t="shared" si="384"/>
        <v>0</v>
      </c>
      <c r="T216" s="502">
        <f t="shared" si="384"/>
        <v>0</v>
      </c>
      <c r="U216" s="502">
        <f t="shared" si="384"/>
        <v>0</v>
      </c>
      <c r="V216" s="502">
        <f t="shared" si="384"/>
        <v>165353</v>
      </c>
      <c r="W216" s="502">
        <f t="shared" si="384"/>
        <v>0</v>
      </c>
      <c r="X216" s="502">
        <f t="shared" si="384"/>
        <v>0</v>
      </c>
      <c r="Y216" s="502">
        <f t="shared" si="384"/>
        <v>0</v>
      </c>
      <c r="Z216" s="502">
        <f t="shared" si="384"/>
        <v>0</v>
      </c>
      <c r="AA216" s="502">
        <f t="shared" si="384"/>
        <v>165353</v>
      </c>
      <c r="AB216" s="502">
        <f t="shared" si="384"/>
        <v>55889</v>
      </c>
      <c r="AC216" s="502">
        <f t="shared" si="384"/>
        <v>1654</v>
      </c>
      <c r="AD216" s="502">
        <f t="shared" si="384"/>
        <v>0</v>
      </c>
      <c r="AE216" s="852">
        <f t="shared" si="384"/>
        <v>222896</v>
      </c>
      <c r="AF216" s="857">
        <f t="shared" si="384"/>
        <v>0</v>
      </c>
      <c r="AG216" s="848">
        <f t="shared" si="384"/>
        <v>0.42</v>
      </c>
      <c r="AH216" s="848">
        <f t="shared" si="384"/>
        <v>0</v>
      </c>
      <c r="AI216" s="848">
        <f t="shared" si="384"/>
        <v>0</v>
      </c>
      <c r="AJ216" s="848">
        <f t="shared" si="384"/>
        <v>0</v>
      </c>
      <c r="AK216" s="848">
        <f t="shared" si="384"/>
        <v>0</v>
      </c>
      <c r="AL216" s="613">
        <f t="shared" si="384"/>
        <v>0.42</v>
      </c>
      <c r="AM216" s="612">
        <f t="shared" si="384"/>
        <v>14774730</v>
      </c>
      <c r="AN216" s="502">
        <f t="shared" si="384"/>
        <v>10960482</v>
      </c>
      <c r="AO216" s="549">
        <f t="shared" si="384"/>
        <v>0</v>
      </c>
      <c r="AP216" s="502">
        <f t="shared" si="384"/>
        <v>3704643</v>
      </c>
      <c r="AQ216" s="502">
        <f t="shared" si="384"/>
        <v>109605</v>
      </c>
      <c r="AR216" s="502">
        <f t="shared" si="384"/>
        <v>0</v>
      </c>
      <c r="AS216" s="613">
        <f t="shared" si="384"/>
        <v>18.420000000000002</v>
      </c>
    </row>
    <row r="217" spans="1:45" ht="14.1" customHeight="1" x14ac:dyDescent="0.2">
      <c r="A217" s="499">
        <v>55</v>
      </c>
      <c r="B217" s="511">
        <v>2484</v>
      </c>
      <c r="C217" s="512">
        <v>600079864</v>
      </c>
      <c r="D217" s="511">
        <v>46746145</v>
      </c>
      <c r="E217" s="510" t="s">
        <v>626</v>
      </c>
      <c r="F217" s="499">
        <v>3113</v>
      </c>
      <c r="G217" s="510" t="s">
        <v>280</v>
      </c>
      <c r="H217" s="495" t="s">
        <v>262</v>
      </c>
      <c r="I217" s="610">
        <v>45065164</v>
      </c>
      <c r="J217" s="14">
        <v>33312021</v>
      </c>
      <c r="K217" s="14">
        <v>120000</v>
      </c>
      <c r="L217" s="14">
        <v>11300023</v>
      </c>
      <c r="M217" s="14">
        <v>333120</v>
      </c>
      <c r="N217" s="14">
        <v>0</v>
      </c>
      <c r="O217" s="121">
        <v>45.051000000000002</v>
      </c>
      <c r="P217" s="676">
        <f t="shared" si="368"/>
        <v>0</v>
      </c>
      <c r="Q217" s="492">
        <v>0</v>
      </c>
      <c r="R217" s="492">
        <v>0</v>
      </c>
      <c r="S217" s="492">
        <v>0</v>
      </c>
      <c r="T217" s="492">
        <v>0</v>
      </c>
      <c r="U217" s="492">
        <v>0</v>
      </c>
      <c r="V217" s="492">
        <f>P217+Q217+R217+S217+T217+U217</f>
        <v>0</v>
      </c>
      <c r="W217" s="492">
        <v>0</v>
      </c>
      <c r="X217" s="492">
        <v>0</v>
      </c>
      <c r="Y217" s="492">
        <v>0</v>
      </c>
      <c r="Z217" s="492">
        <f t="shared" ref="Z217:Z220" si="385">W217+X217+Y217</f>
        <v>0</v>
      </c>
      <c r="AA217" s="492">
        <f t="shared" ref="AA217:AA220" si="386">V217+Z217</f>
        <v>0</v>
      </c>
      <c r="AB217" s="494">
        <f t="shared" ref="AB217:AB220" si="387">ROUND((V217+Z217)*33.8%,0)</f>
        <v>0</v>
      </c>
      <c r="AC217" s="494">
        <f>ROUND(V217*1%,0)</f>
        <v>0</v>
      </c>
      <c r="AD217" s="14">
        <v>0</v>
      </c>
      <c r="AE217" s="753">
        <f t="shared" si="369"/>
        <v>0</v>
      </c>
      <c r="AF217" s="858">
        <v>0</v>
      </c>
      <c r="AG217" s="491">
        <v>0</v>
      </c>
      <c r="AH217" s="491">
        <v>0</v>
      </c>
      <c r="AI217" s="491">
        <v>0</v>
      </c>
      <c r="AJ217" s="491">
        <v>0</v>
      </c>
      <c r="AK217" s="491">
        <v>0</v>
      </c>
      <c r="AL217" s="609">
        <f>SUM(AF217:AK217)</f>
        <v>0</v>
      </c>
      <c r="AM217" s="676">
        <f>I217+AE217</f>
        <v>45065164</v>
      </c>
      <c r="AN217" s="492">
        <f>J217+V217</f>
        <v>33312021</v>
      </c>
      <c r="AO217" s="492">
        <f t="shared" ref="AO217:AO220" si="388">K217+Z217</f>
        <v>120000</v>
      </c>
      <c r="AP217" s="492">
        <f t="shared" ref="AP217:AR220" si="389">L217+AB217</f>
        <v>11300023</v>
      </c>
      <c r="AQ217" s="492">
        <f t="shared" si="389"/>
        <v>333120</v>
      </c>
      <c r="AR217" s="573">
        <f t="shared" si="389"/>
        <v>0</v>
      </c>
      <c r="AS217" s="609">
        <f>O217+AL217</f>
        <v>45.051000000000002</v>
      </c>
    </row>
    <row r="218" spans="1:45" ht="14.1" customHeight="1" x14ac:dyDescent="0.2">
      <c r="A218" s="499">
        <v>55</v>
      </c>
      <c r="B218" s="511">
        <v>2484</v>
      </c>
      <c r="C218" s="512">
        <v>600079864</v>
      </c>
      <c r="D218" s="511">
        <v>46746145</v>
      </c>
      <c r="E218" s="510" t="s">
        <v>626</v>
      </c>
      <c r="F218" s="499">
        <v>3113</v>
      </c>
      <c r="G218" s="510" t="s">
        <v>799</v>
      </c>
      <c r="H218" s="495" t="s">
        <v>262</v>
      </c>
      <c r="I218" s="610">
        <v>987027</v>
      </c>
      <c r="J218" s="490">
        <v>732216</v>
      </c>
      <c r="K218" s="490">
        <v>0</v>
      </c>
      <c r="L218" s="14">
        <v>247489</v>
      </c>
      <c r="M218" s="14">
        <v>7322</v>
      </c>
      <c r="N218" s="14">
        <v>0</v>
      </c>
      <c r="O218" s="664">
        <v>1.2</v>
      </c>
      <c r="P218" s="676">
        <f t="shared" si="368"/>
        <v>0</v>
      </c>
      <c r="Q218" s="492">
        <v>0</v>
      </c>
      <c r="R218" s="492">
        <v>0</v>
      </c>
      <c r="S218" s="492">
        <v>0</v>
      </c>
      <c r="T218" s="492">
        <v>0</v>
      </c>
      <c r="U218" s="492">
        <v>0</v>
      </c>
      <c r="V218" s="492">
        <f>P218+Q218+R218+S218+T218+U218</f>
        <v>0</v>
      </c>
      <c r="W218" s="492">
        <v>0</v>
      </c>
      <c r="X218" s="492">
        <v>0</v>
      </c>
      <c r="Y218" s="492">
        <v>0</v>
      </c>
      <c r="Z218" s="492">
        <f t="shared" ref="Z218" si="390">W218+X218+Y218</f>
        <v>0</v>
      </c>
      <c r="AA218" s="492">
        <f t="shared" ref="AA218" si="391">V218+Z218</f>
        <v>0</v>
      </c>
      <c r="AB218" s="494">
        <f t="shared" ref="AB218" si="392">ROUND((V218+Z218)*33.8%,0)</f>
        <v>0</v>
      </c>
      <c r="AC218" s="494">
        <f>ROUND(V218*1%,0)</f>
        <v>0</v>
      </c>
      <c r="AD218" s="14">
        <v>0</v>
      </c>
      <c r="AE218" s="753">
        <f t="shared" si="369"/>
        <v>0</v>
      </c>
      <c r="AF218" s="858">
        <v>0</v>
      </c>
      <c r="AG218" s="491">
        <v>0</v>
      </c>
      <c r="AH218" s="491">
        <v>0</v>
      </c>
      <c r="AI218" s="491">
        <v>0</v>
      </c>
      <c r="AJ218" s="491">
        <v>0</v>
      </c>
      <c r="AK218" s="491">
        <v>0</v>
      </c>
      <c r="AL218" s="609">
        <f>SUM(AF218:AK218)</f>
        <v>0</v>
      </c>
      <c r="AM218" s="676">
        <f>I218+AE218</f>
        <v>987027</v>
      </c>
      <c r="AN218" s="492">
        <f>J218+V218</f>
        <v>732216</v>
      </c>
      <c r="AO218" s="492">
        <f t="shared" si="388"/>
        <v>0</v>
      </c>
      <c r="AP218" s="492">
        <f t="shared" si="389"/>
        <v>247489</v>
      </c>
      <c r="AQ218" s="492">
        <f t="shared" si="389"/>
        <v>7322</v>
      </c>
      <c r="AR218" s="573">
        <f t="shared" si="389"/>
        <v>0</v>
      </c>
      <c r="AS218" s="609">
        <f>O218+AL218</f>
        <v>1.2</v>
      </c>
    </row>
    <row r="219" spans="1:45" ht="14.1" customHeight="1" x14ac:dyDescent="0.2">
      <c r="A219" s="499">
        <v>55</v>
      </c>
      <c r="B219" s="511">
        <v>2484</v>
      </c>
      <c r="C219" s="512">
        <v>600079864</v>
      </c>
      <c r="D219" s="511">
        <v>46746145</v>
      </c>
      <c r="E219" s="510" t="s">
        <v>626</v>
      </c>
      <c r="F219" s="499">
        <v>3113</v>
      </c>
      <c r="G219" s="513" t="s">
        <v>278</v>
      </c>
      <c r="H219" s="495" t="s">
        <v>263</v>
      </c>
      <c r="I219" s="610">
        <v>5864350</v>
      </c>
      <c r="J219" s="490">
        <v>4340482</v>
      </c>
      <c r="K219" s="490">
        <v>10000</v>
      </c>
      <c r="L219" s="14">
        <v>1470463</v>
      </c>
      <c r="M219" s="14">
        <v>43405</v>
      </c>
      <c r="N219" s="14">
        <v>0</v>
      </c>
      <c r="O219" s="664">
        <v>11.000000000000002</v>
      </c>
      <c r="P219" s="676">
        <f t="shared" si="368"/>
        <v>0</v>
      </c>
      <c r="Q219" s="492">
        <f>327138-2207</f>
        <v>324931</v>
      </c>
      <c r="R219" s="492">
        <v>0</v>
      </c>
      <c r="S219" s="492">
        <v>0</v>
      </c>
      <c r="T219" s="492">
        <v>0</v>
      </c>
      <c r="U219" s="492">
        <v>0</v>
      </c>
      <c r="V219" s="492">
        <f>P219+Q219+R219+S219+T219+U219</f>
        <v>324931</v>
      </c>
      <c r="W219" s="492">
        <v>0</v>
      </c>
      <c r="X219" s="492">
        <v>0</v>
      </c>
      <c r="Y219" s="492">
        <v>0</v>
      </c>
      <c r="Z219" s="492">
        <f t="shared" si="385"/>
        <v>0</v>
      </c>
      <c r="AA219" s="492">
        <f t="shared" si="386"/>
        <v>324931</v>
      </c>
      <c r="AB219" s="494">
        <f t="shared" si="387"/>
        <v>109827</v>
      </c>
      <c r="AC219" s="494">
        <f>ROUND(V219*1%,0)</f>
        <v>3249</v>
      </c>
      <c r="AD219" s="14">
        <v>0</v>
      </c>
      <c r="AE219" s="753">
        <f t="shared" si="369"/>
        <v>438007</v>
      </c>
      <c r="AF219" s="858">
        <v>0</v>
      </c>
      <c r="AG219" s="491">
        <v>0.76</v>
      </c>
      <c r="AH219" s="491">
        <v>0</v>
      </c>
      <c r="AI219" s="491">
        <v>0</v>
      </c>
      <c r="AJ219" s="491">
        <v>0</v>
      </c>
      <c r="AK219" s="491">
        <v>0</v>
      </c>
      <c r="AL219" s="609">
        <f>SUM(AF219:AK219)</f>
        <v>0.76</v>
      </c>
      <c r="AM219" s="676">
        <f>I219+AE219</f>
        <v>6302357</v>
      </c>
      <c r="AN219" s="492">
        <f>J219+V219</f>
        <v>4665413</v>
      </c>
      <c r="AO219" s="492">
        <f t="shared" si="388"/>
        <v>10000</v>
      </c>
      <c r="AP219" s="492">
        <f t="shared" si="389"/>
        <v>1580290</v>
      </c>
      <c r="AQ219" s="492">
        <f t="shared" si="389"/>
        <v>46654</v>
      </c>
      <c r="AR219" s="573">
        <f t="shared" si="389"/>
        <v>0</v>
      </c>
      <c r="AS219" s="609">
        <f>O219+AL219</f>
        <v>11.760000000000002</v>
      </c>
    </row>
    <row r="220" spans="1:45" ht="14.1" customHeight="1" x14ac:dyDescent="0.2">
      <c r="A220" s="499">
        <v>55</v>
      </c>
      <c r="B220" s="511">
        <v>2484</v>
      </c>
      <c r="C220" s="512">
        <v>600079864</v>
      </c>
      <c r="D220" s="511">
        <v>46746145</v>
      </c>
      <c r="E220" s="510" t="s">
        <v>626</v>
      </c>
      <c r="F220" s="499">
        <v>3143</v>
      </c>
      <c r="G220" s="513" t="s">
        <v>794</v>
      </c>
      <c r="H220" s="495" t="s">
        <v>262</v>
      </c>
      <c r="I220" s="610">
        <v>4696943</v>
      </c>
      <c r="J220" s="14">
        <v>3424824</v>
      </c>
      <c r="K220" s="14">
        <v>60000</v>
      </c>
      <c r="L220" s="14">
        <v>1177871</v>
      </c>
      <c r="M220" s="14">
        <v>34248</v>
      </c>
      <c r="N220" s="14">
        <v>0</v>
      </c>
      <c r="O220" s="121">
        <v>6.4386999999999999</v>
      </c>
      <c r="P220" s="676">
        <f t="shared" si="368"/>
        <v>0</v>
      </c>
      <c r="Q220" s="492">
        <v>0</v>
      </c>
      <c r="R220" s="492">
        <v>0</v>
      </c>
      <c r="S220" s="492">
        <v>0</v>
      </c>
      <c r="T220" s="492">
        <v>0</v>
      </c>
      <c r="U220" s="492">
        <v>0</v>
      </c>
      <c r="V220" s="492">
        <f>P220+Q220+R220+S220+T220+U220</f>
        <v>0</v>
      </c>
      <c r="W220" s="492">
        <v>0</v>
      </c>
      <c r="X220" s="492">
        <v>0</v>
      </c>
      <c r="Y220" s="492">
        <v>0</v>
      </c>
      <c r="Z220" s="492">
        <f t="shared" si="385"/>
        <v>0</v>
      </c>
      <c r="AA220" s="492">
        <f t="shared" si="386"/>
        <v>0</v>
      </c>
      <c r="AB220" s="494">
        <f t="shared" si="387"/>
        <v>0</v>
      </c>
      <c r="AC220" s="494">
        <f>ROUND(V220*1%,0)</f>
        <v>0</v>
      </c>
      <c r="AD220" s="14">
        <v>0</v>
      </c>
      <c r="AE220" s="753">
        <f t="shared" si="369"/>
        <v>0</v>
      </c>
      <c r="AF220" s="858">
        <v>0</v>
      </c>
      <c r="AG220" s="491">
        <v>0</v>
      </c>
      <c r="AH220" s="491">
        <v>0</v>
      </c>
      <c r="AI220" s="491">
        <v>0</v>
      </c>
      <c r="AJ220" s="491">
        <v>0</v>
      </c>
      <c r="AK220" s="491">
        <v>0</v>
      </c>
      <c r="AL220" s="609">
        <f>SUM(AF220:AK220)</f>
        <v>0</v>
      </c>
      <c r="AM220" s="676">
        <f>I220+AE220</f>
        <v>4696943</v>
      </c>
      <c r="AN220" s="492">
        <f>J220+V220</f>
        <v>3424824</v>
      </c>
      <c r="AO220" s="492">
        <f t="shared" si="388"/>
        <v>60000</v>
      </c>
      <c r="AP220" s="492">
        <f t="shared" si="389"/>
        <v>1177871</v>
      </c>
      <c r="AQ220" s="492">
        <f t="shared" si="389"/>
        <v>34248</v>
      </c>
      <c r="AR220" s="573">
        <f t="shared" si="389"/>
        <v>0</v>
      </c>
      <c r="AS220" s="609">
        <f>O220+AL220</f>
        <v>6.4386999999999999</v>
      </c>
    </row>
    <row r="221" spans="1:45" ht="14.1" customHeight="1" x14ac:dyDescent="0.2">
      <c r="A221" s="509">
        <v>55</v>
      </c>
      <c r="B221" s="507">
        <v>2484</v>
      </c>
      <c r="C221" s="508">
        <v>600079864</v>
      </c>
      <c r="D221" s="507">
        <v>46746145</v>
      </c>
      <c r="E221" s="505" t="s">
        <v>627</v>
      </c>
      <c r="F221" s="509"/>
      <c r="G221" s="505"/>
      <c r="H221" s="504"/>
      <c r="I221" s="612">
        <v>56613484</v>
      </c>
      <c r="J221" s="503">
        <v>41809543</v>
      </c>
      <c r="K221" s="503">
        <v>190000</v>
      </c>
      <c r="L221" s="503">
        <v>14195846</v>
      </c>
      <c r="M221" s="503">
        <v>418095</v>
      </c>
      <c r="N221" s="503">
        <v>0</v>
      </c>
      <c r="O221" s="837">
        <v>63.689700000000002</v>
      </c>
      <c r="P221" s="612">
        <f t="shared" ref="P221:AS221" si="393">SUM(P217:P220)</f>
        <v>0</v>
      </c>
      <c r="Q221" s="502">
        <f t="shared" si="393"/>
        <v>324931</v>
      </c>
      <c r="R221" s="502">
        <f t="shared" si="393"/>
        <v>0</v>
      </c>
      <c r="S221" s="502">
        <f t="shared" si="393"/>
        <v>0</v>
      </c>
      <c r="T221" s="502">
        <f t="shared" si="393"/>
        <v>0</v>
      </c>
      <c r="U221" s="502">
        <f t="shared" si="393"/>
        <v>0</v>
      </c>
      <c r="V221" s="502">
        <f t="shared" si="393"/>
        <v>324931</v>
      </c>
      <c r="W221" s="502">
        <f t="shared" si="393"/>
        <v>0</v>
      </c>
      <c r="X221" s="502">
        <f t="shared" si="393"/>
        <v>0</v>
      </c>
      <c r="Y221" s="502">
        <f t="shared" si="393"/>
        <v>0</v>
      </c>
      <c r="Z221" s="502">
        <f t="shared" si="393"/>
        <v>0</v>
      </c>
      <c r="AA221" s="502">
        <f t="shared" si="393"/>
        <v>324931</v>
      </c>
      <c r="AB221" s="502">
        <f t="shared" si="393"/>
        <v>109827</v>
      </c>
      <c r="AC221" s="502">
        <f t="shared" si="393"/>
        <v>3249</v>
      </c>
      <c r="AD221" s="502">
        <f t="shared" si="393"/>
        <v>0</v>
      </c>
      <c r="AE221" s="852">
        <f t="shared" si="393"/>
        <v>438007</v>
      </c>
      <c r="AF221" s="857">
        <f t="shared" si="393"/>
        <v>0</v>
      </c>
      <c r="AG221" s="848">
        <f t="shared" si="393"/>
        <v>0.76</v>
      </c>
      <c r="AH221" s="848">
        <f t="shared" si="393"/>
        <v>0</v>
      </c>
      <c r="AI221" s="848">
        <f t="shared" si="393"/>
        <v>0</v>
      </c>
      <c r="AJ221" s="848">
        <f t="shared" si="393"/>
        <v>0</v>
      </c>
      <c r="AK221" s="848">
        <f t="shared" si="393"/>
        <v>0</v>
      </c>
      <c r="AL221" s="613">
        <f t="shared" si="393"/>
        <v>0.76</v>
      </c>
      <c r="AM221" s="612">
        <f t="shared" si="393"/>
        <v>57051491</v>
      </c>
      <c r="AN221" s="502">
        <f t="shared" si="393"/>
        <v>42134474</v>
      </c>
      <c r="AO221" s="549">
        <f t="shared" si="393"/>
        <v>190000</v>
      </c>
      <c r="AP221" s="502">
        <f t="shared" si="393"/>
        <v>14305673</v>
      </c>
      <c r="AQ221" s="502">
        <f t="shared" si="393"/>
        <v>421344</v>
      </c>
      <c r="AR221" s="502">
        <f t="shared" si="393"/>
        <v>0</v>
      </c>
      <c r="AS221" s="613">
        <f t="shared" si="393"/>
        <v>64.449700000000007</v>
      </c>
    </row>
    <row r="222" spans="1:45" ht="14.1" customHeight="1" x14ac:dyDescent="0.2">
      <c r="A222" s="499">
        <v>56</v>
      </c>
      <c r="B222" s="511">
        <v>2401</v>
      </c>
      <c r="C222" s="512">
        <v>600079597</v>
      </c>
      <c r="D222" s="511">
        <v>72741538</v>
      </c>
      <c r="E222" s="510" t="s">
        <v>628</v>
      </c>
      <c r="F222" s="499">
        <v>3111</v>
      </c>
      <c r="G222" s="510" t="s">
        <v>277</v>
      </c>
      <c r="H222" s="495" t="s">
        <v>262</v>
      </c>
      <c r="I222" s="610">
        <v>3335942</v>
      </c>
      <c r="J222" s="14">
        <v>2405253</v>
      </c>
      <c r="K222" s="14">
        <v>70000</v>
      </c>
      <c r="L222" s="14">
        <v>836636</v>
      </c>
      <c r="M222" s="14">
        <v>24053</v>
      </c>
      <c r="N222" s="14">
        <v>0</v>
      </c>
      <c r="O222" s="121">
        <v>3.88</v>
      </c>
      <c r="P222" s="676">
        <f t="shared" si="368"/>
        <v>0</v>
      </c>
      <c r="Q222" s="492">
        <v>0</v>
      </c>
      <c r="R222" s="492">
        <v>0</v>
      </c>
      <c r="S222" s="492">
        <v>0</v>
      </c>
      <c r="T222" s="492">
        <v>0</v>
      </c>
      <c r="U222" s="492">
        <v>0</v>
      </c>
      <c r="V222" s="492">
        <f>P222+Q222+R222+S222+T222+U222</f>
        <v>0</v>
      </c>
      <c r="W222" s="492">
        <v>0</v>
      </c>
      <c r="X222" s="492">
        <v>0</v>
      </c>
      <c r="Y222" s="492">
        <v>0</v>
      </c>
      <c r="Z222" s="492">
        <f t="shared" ref="Z222:Z223" si="394">W222+X222+Y222</f>
        <v>0</v>
      </c>
      <c r="AA222" s="492">
        <f t="shared" ref="AA222:AA223" si="395">V222+Z222</f>
        <v>0</v>
      </c>
      <c r="AB222" s="494">
        <f t="shared" ref="AB222:AB223" si="396">ROUND((V222+Z222)*33.8%,0)</f>
        <v>0</v>
      </c>
      <c r="AC222" s="494">
        <f>ROUND(V222*1%,0)</f>
        <v>0</v>
      </c>
      <c r="AD222" s="14">
        <v>0</v>
      </c>
      <c r="AE222" s="753">
        <f t="shared" si="369"/>
        <v>0</v>
      </c>
      <c r="AF222" s="858">
        <v>0</v>
      </c>
      <c r="AG222" s="491">
        <v>0</v>
      </c>
      <c r="AH222" s="491">
        <v>0</v>
      </c>
      <c r="AI222" s="491">
        <v>0</v>
      </c>
      <c r="AJ222" s="491">
        <v>0</v>
      </c>
      <c r="AK222" s="491">
        <v>0</v>
      </c>
      <c r="AL222" s="609">
        <f>SUM(AF222:AK222)</f>
        <v>0</v>
      </c>
      <c r="AM222" s="676">
        <f>I222+AE222</f>
        <v>3335942</v>
      </c>
      <c r="AN222" s="492">
        <f>J222+V222</f>
        <v>2405253</v>
      </c>
      <c r="AO222" s="492">
        <f t="shared" ref="AO222:AO223" si="397">K222+Z222</f>
        <v>70000</v>
      </c>
      <c r="AP222" s="492">
        <f t="shared" ref="AP222:AR223" si="398">L222+AB222</f>
        <v>836636</v>
      </c>
      <c r="AQ222" s="492">
        <f t="shared" si="398"/>
        <v>24053</v>
      </c>
      <c r="AR222" s="573">
        <f t="shared" si="398"/>
        <v>0</v>
      </c>
      <c r="AS222" s="609">
        <f>O222+AL222</f>
        <v>3.88</v>
      </c>
    </row>
    <row r="223" spans="1:45" ht="14.1" customHeight="1" x14ac:dyDescent="0.2">
      <c r="A223" s="499">
        <v>56</v>
      </c>
      <c r="B223" s="511">
        <v>2401</v>
      </c>
      <c r="C223" s="512">
        <v>600079597</v>
      </c>
      <c r="D223" s="511">
        <v>72741538</v>
      </c>
      <c r="E223" s="510" t="s">
        <v>628</v>
      </c>
      <c r="F223" s="499">
        <v>3111</v>
      </c>
      <c r="G223" s="510" t="s">
        <v>278</v>
      </c>
      <c r="H223" s="495" t="s">
        <v>263</v>
      </c>
      <c r="I223" s="610">
        <v>1019566</v>
      </c>
      <c r="J223" s="490">
        <v>756354</v>
      </c>
      <c r="K223" s="490">
        <v>0</v>
      </c>
      <c r="L223" s="14">
        <v>255648</v>
      </c>
      <c r="M223" s="14">
        <v>7564</v>
      </c>
      <c r="N223" s="14">
        <v>0</v>
      </c>
      <c r="O223" s="664">
        <v>1.8400000000000003</v>
      </c>
      <c r="P223" s="676">
        <f t="shared" si="368"/>
        <v>0</v>
      </c>
      <c r="Q223" s="492">
        <v>0</v>
      </c>
      <c r="R223" s="492">
        <v>0</v>
      </c>
      <c r="S223" s="492">
        <v>0</v>
      </c>
      <c r="T223" s="492">
        <v>0</v>
      </c>
      <c r="U223" s="492">
        <v>0</v>
      </c>
      <c r="V223" s="492">
        <f>P223+Q223+R223+S223+T223+U223</f>
        <v>0</v>
      </c>
      <c r="W223" s="492">
        <v>0</v>
      </c>
      <c r="X223" s="492">
        <v>0</v>
      </c>
      <c r="Y223" s="492">
        <v>0</v>
      </c>
      <c r="Z223" s="492">
        <f t="shared" si="394"/>
        <v>0</v>
      </c>
      <c r="AA223" s="492">
        <f t="shared" si="395"/>
        <v>0</v>
      </c>
      <c r="AB223" s="494">
        <f t="shared" si="396"/>
        <v>0</v>
      </c>
      <c r="AC223" s="494">
        <f>ROUND(V223*1%,0)</f>
        <v>0</v>
      </c>
      <c r="AD223" s="14">
        <v>0</v>
      </c>
      <c r="AE223" s="753">
        <f t="shared" si="369"/>
        <v>0</v>
      </c>
      <c r="AF223" s="858">
        <v>0</v>
      </c>
      <c r="AG223" s="491">
        <v>0</v>
      </c>
      <c r="AH223" s="491">
        <v>0</v>
      </c>
      <c r="AI223" s="491">
        <v>0</v>
      </c>
      <c r="AJ223" s="491">
        <v>0</v>
      </c>
      <c r="AK223" s="491">
        <v>0</v>
      </c>
      <c r="AL223" s="609">
        <f>SUM(AF223:AK223)</f>
        <v>0</v>
      </c>
      <c r="AM223" s="676">
        <f>I223+AE223</f>
        <v>1019566</v>
      </c>
      <c r="AN223" s="492">
        <f>J223+V223</f>
        <v>756354</v>
      </c>
      <c r="AO223" s="492">
        <f t="shared" si="397"/>
        <v>0</v>
      </c>
      <c r="AP223" s="492">
        <f t="shared" si="398"/>
        <v>255648</v>
      </c>
      <c r="AQ223" s="492">
        <f t="shared" si="398"/>
        <v>7564</v>
      </c>
      <c r="AR223" s="573">
        <f t="shared" si="398"/>
        <v>0</v>
      </c>
      <c r="AS223" s="609">
        <f>O223+AL223</f>
        <v>1.8400000000000003</v>
      </c>
    </row>
    <row r="224" spans="1:45" ht="14.1" customHeight="1" x14ac:dyDescent="0.2">
      <c r="A224" s="509">
        <v>56</v>
      </c>
      <c r="B224" s="507">
        <v>2401</v>
      </c>
      <c r="C224" s="508">
        <v>600079597</v>
      </c>
      <c r="D224" s="507">
        <v>72741538</v>
      </c>
      <c r="E224" s="505" t="s">
        <v>629</v>
      </c>
      <c r="F224" s="509"/>
      <c r="G224" s="505"/>
      <c r="H224" s="504"/>
      <c r="I224" s="612">
        <v>4355508</v>
      </c>
      <c r="J224" s="503">
        <v>3161607</v>
      </c>
      <c r="K224" s="503">
        <v>70000</v>
      </c>
      <c r="L224" s="503">
        <v>1092284</v>
      </c>
      <c r="M224" s="503">
        <v>31617</v>
      </c>
      <c r="N224" s="503">
        <v>0</v>
      </c>
      <c r="O224" s="837">
        <v>5.7200000000000006</v>
      </c>
      <c r="P224" s="612">
        <f t="shared" ref="P224:AS224" si="399">SUM(P222:P223)</f>
        <v>0</v>
      </c>
      <c r="Q224" s="502">
        <f t="shared" si="399"/>
        <v>0</v>
      </c>
      <c r="R224" s="502">
        <f t="shared" si="399"/>
        <v>0</v>
      </c>
      <c r="S224" s="502">
        <f t="shared" si="399"/>
        <v>0</v>
      </c>
      <c r="T224" s="502">
        <f t="shared" si="399"/>
        <v>0</v>
      </c>
      <c r="U224" s="502">
        <f t="shared" si="399"/>
        <v>0</v>
      </c>
      <c r="V224" s="502">
        <f t="shared" si="399"/>
        <v>0</v>
      </c>
      <c r="W224" s="502">
        <f t="shared" si="399"/>
        <v>0</v>
      </c>
      <c r="X224" s="502">
        <f t="shared" si="399"/>
        <v>0</v>
      </c>
      <c r="Y224" s="502">
        <f t="shared" si="399"/>
        <v>0</v>
      </c>
      <c r="Z224" s="502">
        <f t="shared" si="399"/>
        <v>0</v>
      </c>
      <c r="AA224" s="502">
        <f t="shared" si="399"/>
        <v>0</v>
      </c>
      <c r="AB224" s="502">
        <f t="shared" si="399"/>
        <v>0</v>
      </c>
      <c r="AC224" s="502">
        <f t="shared" si="399"/>
        <v>0</v>
      </c>
      <c r="AD224" s="502">
        <f t="shared" si="399"/>
        <v>0</v>
      </c>
      <c r="AE224" s="852">
        <f t="shared" si="399"/>
        <v>0</v>
      </c>
      <c r="AF224" s="857">
        <f t="shared" si="399"/>
        <v>0</v>
      </c>
      <c r="AG224" s="848">
        <f t="shared" si="399"/>
        <v>0</v>
      </c>
      <c r="AH224" s="848">
        <f t="shared" si="399"/>
        <v>0</v>
      </c>
      <c r="AI224" s="848">
        <f t="shared" si="399"/>
        <v>0</v>
      </c>
      <c r="AJ224" s="848">
        <f t="shared" si="399"/>
        <v>0</v>
      </c>
      <c r="AK224" s="848">
        <f t="shared" si="399"/>
        <v>0</v>
      </c>
      <c r="AL224" s="613">
        <f t="shared" si="399"/>
        <v>0</v>
      </c>
      <c r="AM224" s="612">
        <f t="shared" si="399"/>
        <v>4355508</v>
      </c>
      <c r="AN224" s="502">
        <f t="shared" si="399"/>
        <v>3161607</v>
      </c>
      <c r="AO224" s="549">
        <f t="shared" si="399"/>
        <v>70000</v>
      </c>
      <c r="AP224" s="502">
        <f t="shared" si="399"/>
        <v>1092284</v>
      </c>
      <c r="AQ224" s="502">
        <f t="shared" si="399"/>
        <v>31617</v>
      </c>
      <c r="AR224" s="502">
        <f t="shared" si="399"/>
        <v>0</v>
      </c>
      <c r="AS224" s="613">
        <f t="shared" si="399"/>
        <v>5.7200000000000006</v>
      </c>
    </row>
    <row r="225" spans="1:45" ht="14.1" customHeight="1" x14ac:dyDescent="0.2">
      <c r="A225" s="499">
        <v>57</v>
      </c>
      <c r="B225" s="511">
        <v>2449</v>
      </c>
      <c r="C225" s="512">
        <v>650029348</v>
      </c>
      <c r="D225" s="511">
        <v>72742071</v>
      </c>
      <c r="E225" s="510" t="s">
        <v>630</v>
      </c>
      <c r="F225" s="499">
        <v>3111</v>
      </c>
      <c r="G225" s="510" t="s">
        <v>277</v>
      </c>
      <c r="H225" s="495" t="s">
        <v>262</v>
      </c>
      <c r="I225" s="610">
        <v>3116884</v>
      </c>
      <c r="J225" s="14">
        <v>2312229</v>
      </c>
      <c r="K225" s="14">
        <v>0</v>
      </c>
      <c r="L225" s="14">
        <v>781533</v>
      </c>
      <c r="M225" s="14">
        <v>23122</v>
      </c>
      <c r="N225" s="14">
        <v>0</v>
      </c>
      <c r="O225" s="121">
        <v>4</v>
      </c>
      <c r="P225" s="676">
        <f t="shared" si="368"/>
        <v>0</v>
      </c>
      <c r="Q225" s="492">
        <v>0</v>
      </c>
      <c r="R225" s="492">
        <v>0</v>
      </c>
      <c r="S225" s="492">
        <v>0</v>
      </c>
      <c r="T225" s="492">
        <v>0</v>
      </c>
      <c r="U225" s="492">
        <v>0</v>
      </c>
      <c r="V225" s="492">
        <f>P225+Q225+R225+S225+T225+U225</f>
        <v>0</v>
      </c>
      <c r="W225" s="492">
        <v>0</v>
      </c>
      <c r="X225" s="492">
        <v>0</v>
      </c>
      <c r="Y225" s="492">
        <v>0</v>
      </c>
      <c r="Z225" s="492">
        <f t="shared" ref="Z225:Z228" si="400">W225+X225+Y225</f>
        <v>0</v>
      </c>
      <c r="AA225" s="492">
        <f t="shared" ref="AA225:AA228" si="401">V225+Z225</f>
        <v>0</v>
      </c>
      <c r="AB225" s="494">
        <f t="shared" ref="AB225:AB228" si="402">ROUND((V225+Z225)*33.8%,0)</f>
        <v>0</v>
      </c>
      <c r="AC225" s="494">
        <f t="shared" ref="AC225:AC228" si="403">ROUND(V225*1%,0)</f>
        <v>0</v>
      </c>
      <c r="AD225" s="14">
        <v>0</v>
      </c>
      <c r="AE225" s="753">
        <f t="shared" si="369"/>
        <v>0</v>
      </c>
      <c r="AF225" s="858">
        <v>0</v>
      </c>
      <c r="AG225" s="491">
        <v>0</v>
      </c>
      <c r="AH225" s="491">
        <v>0</v>
      </c>
      <c r="AI225" s="491">
        <v>0</v>
      </c>
      <c r="AJ225" s="491">
        <v>0</v>
      </c>
      <c r="AK225" s="491">
        <v>0</v>
      </c>
      <c r="AL225" s="609">
        <f>SUM(AF225:AK225)</f>
        <v>0</v>
      </c>
      <c r="AM225" s="676">
        <f>I225+AE225</f>
        <v>3116884</v>
      </c>
      <c r="AN225" s="492">
        <f>J225+V225</f>
        <v>2312229</v>
      </c>
      <c r="AO225" s="492">
        <f t="shared" ref="AO225:AO228" si="404">K225+Z225</f>
        <v>0</v>
      </c>
      <c r="AP225" s="492">
        <f t="shared" ref="AP225:AR228" si="405">L225+AB225</f>
        <v>781533</v>
      </c>
      <c r="AQ225" s="492">
        <f t="shared" si="405"/>
        <v>23122</v>
      </c>
      <c r="AR225" s="573">
        <f t="shared" si="405"/>
        <v>0</v>
      </c>
      <c r="AS225" s="609">
        <f>O225+AL225</f>
        <v>4</v>
      </c>
    </row>
    <row r="226" spans="1:45" ht="14.1" customHeight="1" x14ac:dyDescent="0.2">
      <c r="A226" s="499">
        <v>57</v>
      </c>
      <c r="B226" s="511">
        <v>2449</v>
      </c>
      <c r="C226" s="512">
        <v>650029348</v>
      </c>
      <c r="D226" s="511">
        <v>72742071</v>
      </c>
      <c r="E226" s="510" t="s">
        <v>630</v>
      </c>
      <c r="F226" s="499">
        <v>3117</v>
      </c>
      <c r="G226" s="510" t="s">
        <v>280</v>
      </c>
      <c r="H226" s="495" t="s">
        <v>262</v>
      </c>
      <c r="I226" s="610">
        <v>4290341</v>
      </c>
      <c r="J226" s="14">
        <v>3159817</v>
      </c>
      <c r="K226" s="14">
        <v>23100</v>
      </c>
      <c r="L226" s="14">
        <v>1075826</v>
      </c>
      <c r="M226" s="14">
        <v>31598</v>
      </c>
      <c r="N226" s="14">
        <v>0</v>
      </c>
      <c r="O226" s="121">
        <v>4.5926999999999998</v>
      </c>
      <c r="P226" s="676">
        <f t="shared" si="368"/>
        <v>0</v>
      </c>
      <c r="Q226" s="492">
        <v>0</v>
      </c>
      <c r="R226" s="492">
        <v>0</v>
      </c>
      <c r="S226" s="492">
        <v>0</v>
      </c>
      <c r="T226" s="492">
        <v>0</v>
      </c>
      <c r="U226" s="492">
        <v>0</v>
      </c>
      <c r="V226" s="492">
        <f>P226+Q226+R226+S226+T226+U226</f>
        <v>0</v>
      </c>
      <c r="W226" s="492">
        <v>0</v>
      </c>
      <c r="X226" s="492">
        <v>0</v>
      </c>
      <c r="Y226" s="492">
        <v>0</v>
      </c>
      <c r="Z226" s="492">
        <f t="shared" si="400"/>
        <v>0</v>
      </c>
      <c r="AA226" s="492">
        <f t="shared" si="401"/>
        <v>0</v>
      </c>
      <c r="AB226" s="494">
        <f t="shared" si="402"/>
        <v>0</v>
      </c>
      <c r="AC226" s="494">
        <f t="shared" si="403"/>
        <v>0</v>
      </c>
      <c r="AD226" s="14">
        <v>0</v>
      </c>
      <c r="AE226" s="753">
        <f t="shared" si="369"/>
        <v>0</v>
      </c>
      <c r="AF226" s="858">
        <v>0</v>
      </c>
      <c r="AG226" s="491">
        <v>0</v>
      </c>
      <c r="AH226" s="491">
        <v>0</v>
      </c>
      <c r="AI226" s="491">
        <v>0</v>
      </c>
      <c r="AJ226" s="491">
        <v>0</v>
      </c>
      <c r="AK226" s="491">
        <v>0</v>
      </c>
      <c r="AL226" s="609">
        <f>SUM(AF226:AK226)</f>
        <v>0</v>
      </c>
      <c r="AM226" s="676">
        <f>I226+AE226</f>
        <v>4290341</v>
      </c>
      <c r="AN226" s="492">
        <f>J226+V226</f>
        <v>3159817</v>
      </c>
      <c r="AO226" s="492">
        <f t="shared" si="404"/>
        <v>23100</v>
      </c>
      <c r="AP226" s="492">
        <f t="shared" si="405"/>
        <v>1075826</v>
      </c>
      <c r="AQ226" s="492">
        <f t="shared" si="405"/>
        <v>31598</v>
      </c>
      <c r="AR226" s="573">
        <f t="shared" si="405"/>
        <v>0</v>
      </c>
      <c r="AS226" s="609">
        <f>O226+AL226</f>
        <v>4.5926999999999998</v>
      </c>
    </row>
    <row r="227" spans="1:45" ht="14.1" customHeight="1" x14ac:dyDescent="0.2">
      <c r="A227" s="499">
        <v>57</v>
      </c>
      <c r="B227" s="511">
        <v>2449</v>
      </c>
      <c r="C227" s="512">
        <v>650029348</v>
      </c>
      <c r="D227" s="511">
        <v>72742071</v>
      </c>
      <c r="E227" s="510" t="s">
        <v>630</v>
      </c>
      <c r="F227" s="499">
        <v>3117</v>
      </c>
      <c r="G227" s="513" t="s">
        <v>278</v>
      </c>
      <c r="H227" s="495" t="s">
        <v>263</v>
      </c>
      <c r="I227" s="610">
        <v>0</v>
      </c>
      <c r="J227" s="490">
        <v>0</v>
      </c>
      <c r="K227" s="490">
        <v>0</v>
      </c>
      <c r="L227" s="14">
        <v>0</v>
      </c>
      <c r="M227" s="14">
        <v>0</v>
      </c>
      <c r="N227" s="14">
        <v>0</v>
      </c>
      <c r="O227" s="664">
        <v>0</v>
      </c>
      <c r="P227" s="676">
        <f t="shared" si="368"/>
        <v>0</v>
      </c>
      <c r="Q227" s="492">
        <v>0</v>
      </c>
      <c r="R227" s="492">
        <v>0</v>
      </c>
      <c r="S227" s="492">
        <v>0</v>
      </c>
      <c r="T227" s="492">
        <v>0</v>
      </c>
      <c r="U227" s="492">
        <v>0</v>
      </c>
      <c r="V227" s="492">
        <f>P227+Q227+R227+S227+T227+U227</f>
        <v>0</v>
      </c>
      <c r="W227" s="492">
        <v>0</v>
      </c>
      <c r="X227" s="492">
        <v>0</v>
      </c>
      <c r="Y227" s="492">
        <v>0</v>
      </c>
      <c r="Z227" s="492">
        <f t="shared" si="400"/>
        <v>0</v>
      </c>
      <c r="AA227" s="492">
        <f t="shared" si="401"/>
        <v>0</v>
      </c>
      <c r="AB227" s="494">
        <f t="shared" si="402"/>
        <v>0</v>
      </c>
      <c r="AC227" s="494">
        <f t="shared" si="403"/>
        <v>0</v>
      </c>
      <c r="AD227" s="14">
        <v>0</v>
      </c>
      <c r="AE227" s="753">
        <f t="shared" si="369"/>
        <v>0</v>
      </c>
      <c r="AF227" s="858">
        <v>0</v>
      </c>
      <c r="AG227" s="491">
        <v>0</v>
      </c>
      <c r="AH227" s="491">
        <v>0</v>
      </c>
      <c r="AI227" s="491">
        <v>0</v>
      </c>
      <c r="AJ227" s="491">
        <v>0</v>
      </c>
      <c r="AK227" s="491">
        <v>0</v>
      </c>
      <c r="AL227" s="609">
        <f>SUM(AF227:AK227)</f>
        <v>0</v>
      </c>
      <c r="AM227" s="676">
        <f>I227+AE227</f>
        <v>0</v>
      </c>
      <c r="AN227" s="492">
        <f>J227+V227</f>
        <v>0</v>
      </c>
      <c r="AO227" s="492">
        <f t="shared" si="404"/>
        <v>0</v>
      </c>
      <c r="AP227" s="492">
        <f t="shared" si="405"/>
        <v>0</v>
      </c>
      <c r="AQ227" s="492">
        <f t="shared" si="405"/>
        <v>0</v>
      </c>
      <c r="AR227" s="573">
        <f t="shared" si="405"/>
        <v>0</v>
      </c>
      <c r="AS227" s="609">
        <f>O227+AL227</f>
        <v>0</v>
      </c>
    </row>
    <row r="228" spans="1:45" ht="14.1" customHeight="1" x14ac:dyDescent="0.2">
      <c r="A228" s="499">
        <v>57</v>
      </c>
      <c r="B228" s="511">
        <v>2449</v>
      </c>
      <c r="C228" s="512">
        <v>650029348</v>
      </c>
      <c r="D228" s="511">
        <v>72742071</v>
      </c>
      <c r="E228" s="510" t="s">
        <v>630</v>
      </c>
      <c r="F228" s="499">
        <v>3143</v>
      </c>
      <c r="G228" s="513" t="s">
        <v>794</v>
      </c>
      <c r="H228" s="495" t="s">
        <v>262</v>
      </c>
      <c r="I228" s="610">
        <v>786422</v>
      </c>
      <c r="J228" s="14">
        <v>583399</v>
      </c>
      <c r="K228" s="14">
        <v>0</v>
      </c>
      <c r="L228" s="14">
        <v>197189</v>
      </c>
      <c r="M228" s="14">
        <v>5834</v>
      </c>
      <c r="N228" s="14">
        <v>0</v>
      </c>
      <c r="O228" s="121">
        <v>1</v>
      </c>
      <c r="P228" s="676">
        <f t="shared" si="368"/>
        <v>0</v>
      </c>
      <c r="Q228" s="492">
        <v>0</v>
      </c>
      <c r="R228" s="492">
        <v>0</v>
      </c>
      <c r="S228" s="492">
        <v>0</v>
      </c>
      <c r="T228" s="492">
        <v>0</v>
      </c>
      <c r="U228" s="492">
        <v>0</v>
      </c>
      <c r="V228" s="492">
        <f>P228+Q228+R228+S228+T228+U228</f>
        <v>0</v>
      </c>
      <c r="W228" s="492">
        <v>0</v>
      </c>
      <c r="X228" s="492">
        <v>0</v>
      </c>
      <c r="Y228" s="492">
        <v>0</v>
      </c>
      <c r="Z228" s="492">
        <f t="shared" si="400"/>
        <v>0</v>
      </c>
      <c r="AA228" s="492">
        <f t="shared" si="401"/>
        <v>0</v>
      </c>
      <c r="AB228" s="494">
        <f t="shared" si="402"/>
        <v>0</v>
      </c>
      <c r="AC228" s="494">
        <f t="shared" si="403"/>
        <v>0</v>
      </c>
      <c r="AD228" s="14">
        <v>0</v>
      </c>
      <c r="AE228" s="753">
        <f t="shared" si="369"/>
        <v>0</v>
      </c>
      <c r="AF228" s="858">
        <v>0</v>
      </c>
      <c r="AG228" s="491">
        <v>0</v>
      </c>
      <c r="AH228" s="491">
        <v>0</v>
      </c>
      <c r="AI228" s="491">
        <v>0</v>
      </c>
      <c r="AJ228" s="491">
        <v>0</v>
      </c>
      <c r="AK228" s="491">
        <v>0</v>
      </c>
      <c r="AL228" s="609">
        <f>SUM(AF228:AK228)</f>
        <v>0</v>
      </c>
      <c r="AM228" s="676">
        <f>I228+AE228</f>
        <v>786422</v>
      </c>
      <c r="AN228" s="492">
        <f>J228+V228</f>
        <v>583399</v>
      </c>
      <c r="AO228" s="492">
        <f t="shared" si="404"/>
        <v>0</v>
      </c>
      <c r="AP228" s="492">
        <f t="shared" si="405"/>
        <v>197189</v>
      </c>
      <c r="AQ228" s="492">
        <f t="shared" si="405"/>
        <v>5834</v>
      </c>
      <c r="AR228" s="573">
        <f t="shared" si="405"/>
        <v>0</v>
      </c>
      <c r="AS228" s="609">
        <f>O228+AL228</f>
        <v>1</v>
      </c>
    </row>
    <row r="229" spans="1:45" ht="14.1" customHeight="1" x14ac:dyDescent="0.2">
      <c r="A229" s="509">
        <v>57</v>
      </c>
      <c r="B229" s="507">
        <v>2449</v>
      </c>
      <c r="C229" s="508">
        <v>650029348</v>
      </c>
      <c r="D229" s="507">
        <v>72742071</v>
      </c>
      <c r="E229" s="505" t="s">
        <v>631</v>
      </c>
      <c r="F229" s="509"/>
      <c r="G229" s="505"/>
      <c r="H229" s="504"/>
      <c r="I229" s="612">
        <v>8193647</v>
      </c>
      <c r="J229" s="503">
        <v>6055445</v>
      </c>
      <c r="K229" s="503">
        <v>23100</v>
      </c>
      <c r="L229" s="503">
        <v>2054548</v>
      </c>
      <c r="M229" s="503">
        <v>60554</v>
      </c>
      <c r="N229" s="503">
        <v>0</v>
      </c>
      <c r="O229" s="837">
        <v>9.5927000000000007</v>
      </c>
      <c r="P229" s="612">
        <f t="shared" ref="P229:AS229" si="406">SUM(P225:P228)</f>
        <v>0</v>
      </c>
      <c r="Q229" s="502">
        <f t="shared" si="406"/>
        <v>0</v>
      </c>
      <c r="R229" s="502">
        <f t="shared" si="406"/>
        <v>0</v>
      </c>
      <c r="S229" s="502">
        <f t="shared" si="406"/>
        <v>0</v>
      </c>
      <c r="T229" s="502">
        <f t="shared" si="406"/>
        <v>0</v>
      </c>
      <c r="U229" s="502">
        <f t="shared" si="406"/>
        <v>0</v>
      </c>
      <c r="V229" s="502">
        <f t="shared" si="406"/>
        <v>0</v>
      </c>
      <c r="W229" s="502">
        <f t="shared" si="406"/>
        <v>0</v>
      </c>
      <c r="X229" s="502">
        <f t="shared" si="406"/>
        <v>0</v>
      </c>
      <c r="Y229" s="502">
        <f t="shared" si="406"/>
        <v>0</v>
      </c>
      <c r="Z229" s="502">
        <f t="shared" si="406"/>
        <v>0</v>
      </c>
      <c r="AA229" s="502">
        <f t="shared" si="406"/>
        <v>0</v>
      </c>
      <c r="AB229" s="502">
        <f t="shared" si="406"/>
        <v>0</v>
      </c>
      <c r="AC229" s="502">
        <f t="shared" si="406"/>
        <v>0</v>
      </c>
      <c r="AD229" s="502">
        <f t="shared" si="406"/>
        <v>0</v>
      </c>
      <c r="AE229" s="852">
        <f t="shared" si="406"/>
        <v>0</v>
      </c>
      <c r="AF229" s="857">
        <f t="shared" si="406"/>
        <v>0</v>
      </c>
      <c r="AG229" s="848">
        <f t="shared" si="406"/>
        <v>0</v>
      </c>
      <c r="AH229" s="848">
        <f t="shared" si="406"/>
        <v>0</v>
      </c>
      <c r="AI229" s="848">
        <f t="shared" si="406"/>
        <v>0</v>
      </c>
      <c r="AJ229" s="848">
        <f t="shared" si="406"/>
        <v>0</v>
      </c>
      <c r="AK229" s="848">
        <f t="shared" si="406"/>
        <v>0</v>
      </c>
      <c r="AL229" s="613">
        <f t="shared" si="406"/>
        <v>0</v>
      </c>
      <c r="AM229" s="612">
        <f t="shared" si="406"/>
        <v>8193647</v>
      </c>
      <c r="AN229" s="502">
        <f t="shared" si="406"/>
        <v>6055445</v>
      </c>
      <c r="AO229" s="549">
        <f t="shared" si="406"/>
        <v>23100</v>
      </c>
      <c r="AP229" s="502">
        <f t="shared" si="406"/>
        <v>2054548</v>
      </c>
      <c r="AQ229" s="502">
        <f t="shared" si="406"/>
        <v>60554</v>
      </c>
      <c r="AR229" s="502">
        <f t="shared" si="406"/>
        <v>0</v>
      </c>
      <c r="AS229" s="613">
        <f t="shared" si="406"/>
        <v>9.5927000000000007</v>
      </c>
    </row>
    <row r="230" spans="1:45" ht="14.1" customHeight="1" x14ac:dyDescent="0.2">
      <c r="A230" s="499">
        <v>58</v>
      </c>
      <c r="B230" s="511">
        <v>2318</v>
      </c>
      <c r="C230" s="512">
        <v>600079546</v>
      </c>
      <c r="D230" s="511">
        <v>70695253</v>
      </c>
      <c r="E230" s="510" t="s">
        <v>632</v>
      </c>
      <c r="F230" s="499">
        <v>3111</v>
      </c>
      <c r="G230" s="510" t="s">
        <v>277</v>
      </c>
      <c r="H230" s="495" t="s">
        <v>262</v>
      </c>
      <c r="I230" s="610">
        <v>7058066</v>
      </c>
      <c r="J230" s="14">
        <v>5196251</v>
      </c>
      <c r="K230" s="14">
        <v>40000</v>
      </c>
      <c r="L230" s="14">
        <v>1769852</v>
      </c>
      <c r="M230" s="14">
        <v>51963</v>
      </c>
      <c r="N230" s="14">
        <v>0</v>
      </c>
      <c r="O230" s="121">
        <v>9</v>
      </c>
      <c r="P230" s="676">
        <f t="shared" si="368"/>
        <v>0</v>
      </c>
      <c r="Q230" s="492">
        <v>0</v>
      </c>
      <c r="R230" s="492">
        <v>0</v>
      </c>
      <c r="S230" s="492">
        <v>0</v>
      </c>
      <c r="T230" s="492">
        <v>0</v>
      </c>
      <c r="U230" s="492">
        <v>0</v>
      </c>
      <c r="V230" s="492">
        <f>P230+Q230+R230+S230+T230+U230</f>
        <v>0</v>
      </c>
      <c r="W230" s="492">
        <v>0</v>
      </c>
      <c r="X230" s="492">
        <v>0</v>
      </c>
      <c r="Y230" s="492">
        <v>0</v>
      </c>
      <c r="Z230" s="492">
        <f t="shared" ref="Z230:Z232" si="407">W230+X230+Y230</f>
        <v>0</v>
      </c>
      <c r="AA230" s="492">
        <f t="shared" ref="AA230:AA232" si="408">V230+Z230</f>
        <v>0</v>
      </c>
      <c r="AB230" s="494">
        <f t="shared" ref="AB230:AB232" si="409">ROUND((V230+Z230)*33.8%,0)</f>
        <v>0</v>
      </c>
      <c r="AC230" s="494">
        <f>ROUND(V230*1%,0)</f>
        <v>0</v>
      </c>
      <c r="AD230" s="14">
        <v>0</v>
      </c>
      <c r="AE230" s="753">
        <f t="shared" si="369"/>
        <v>0</v>
      </c>
      <c r="AF230" s="858">
        <v>0</v>
      </c>
      <c r="AG230" s="491">
        <v>0</v>
      </c>
      <c r="AH230" s="491">
        <v>0</v>
      </c>
      <c r="AI230" s="491">
        <v>0</v>
      </c>
      <c r="AJ230" s="491">
        <v>0</v>
      </c>
      <c r="AK230" s="491">
        <v>0</v>
      </c>
      <c r="AL230" s="609">
        <f>SUM(AF230:AK230)</f>
        <v>0</v>
      </c>
      <c r="AM230" s="676">
        <f>I230+AE230</f>
        <v>7058066</v>
      </c>
      <c r="AN230" s="492">
        <f>J230+V230</f>
        <v>5196251</v>
      </c>
      <c r="AO230" s="492">
        <f t="shared" ref="AO230:AO232" si="410">K230+Z230</f>
        <v>40000</v>
      </c>
      <c r="AP230" s="492">
        <f t="shared" ref="AP230:AR232" si="411">L230+AB230</f>
        <v>1769852</v>
      </c>
      <c r="AQ230" s="492">
        <f t="shared" si="411"/>
        <v>51963</v>
      </c>
      <c r="AR230" s="573">
        <f t="shared" si="411"/>
        <v>0</v>
      </c>
      <c r="AS230" s="609">
        <f>O230+AL230</f>
        <v>9</v>
      </c>
    </row>
    <row r="231" spans="1:45" ht="14.1" customHeight="1" x14ac:dyDescent="0.2">
      <c r="A231" s="499">
        <v>58</v>
      </c>
      <c r="B231" s="511">
        <v>2318</v>
      </c>
      <c r="C231" s="512">
        <v>600079546</v>
      </c>
      <c r="D231" s="511">
        <v>70695253</v>
      </c>
      <c r="E231" s="510" t="s">
        <v>632</v>
      </c>
      <c r="F231" s="499">
        <v>3111</v>
      </c>
      <c r="G231" s="39" t="s">
        <v>279</v>
      </c>
      <c r="H231" s="495" t="s">
        <v>262</v>
      </c>
      <c r="I231" s="610">
        <v>533954</v>
      </c>
      <c r="J231" s="14">
        <v>396108</v>
      </c>
      <c r="K231" s="14">
        <v>0</v>
      </c>
      <c r="L231" s="14">
        <v>133885</v>
      </c>
      <c r="M231" s="14">
        <v>3961</v>
      </c>
      <c r="N231" s="14">
        <v>0</v>
      </c>
      <c r="O231" s="121">
        <v>1</v>
      </c>
      <c r="P231" s="676">
        <f t="shared" si="368"/>
        <v>0</v>
      </c>
      <c r="Q231" s="492">
        <v>0</v>
      </c>
      <c r="R231" s="492">
        <v>0</v>
      </c>
      <c r="S231" s="492">
        <v>0</v>
      </c>
      <c r="T231" s="492">
        <v>0</v>
      </c>
      <c r="U231" s="492">
        <v>0</v>
      </c>
      <c r="V231" s="492">
        <f>P231+Q231+R231+S231+T231+U231</f>
        <v>0</v>
      </c>
      <c r="W231" s="492">
        <v>0</v>
      </c>
      <c r="X231" s="492">
        <v>0</v>
      </c>
      <c r="Y231" s="492">
        <v>0</v>
      </c>
      <c r="Z231" s="492">
        <f t="shared" si="407"/>
        <v>0</v>
      </c>
      <c r="AA231" s="492">
        <f t="shared" si="408"/>
        <v>0</v>
      </c>
      <c r="AB231" s="494">
        <f t="shared" si="409"/>
        <v>0</v>
      </c>
      <c r="AC231" s="494">
        <f>ROUND(V231*1%,0)</f>
        <v>0</v>
      </c>
      <c r="AD231" s="14">
        <v>0</v>
      </c>
      <c r="AE231" s="753">
        <f t="shared" si="369"/>
        <v>0</v>
      </c>
      <c r="AF231" s="858">
        <v>0</v>
      </c>
      <c r="AG231" s="491">
        <v>0</v>
      </c>
      <c r="AH231" s="491">
        <v>0</v>
      </c>
      <c r="AI231" s="491">
        <v>0</v>
      </c>
      <c r="AJ231" s="491">
        <v>0</v>
      </c>
      <c r="AK231" s="491">
        <v>0</v>
      </c>
      <c r="AL231" s="609">
        <f>SUM(AF231:AK231)</f>
        <v>0</v>
      </c>
      <c r="AM231" s="676">
        <f>I231+AE231</f>
        <v>533954</v>
      </c>
      <c r="AN231" s="492">
        <f>J231+V231</f>
        <v>396108</v>
      </c>
      <c r="AO231" s="492">
        <f t="shared" si="410"/>
        <v>0</v>
      </c>
      <c r="AP231" s="492">
        <f t="shared" si="411"/>
        <v>133885</v>
      </c>
      <c r="AQ231" s="492">
        <f t="shared" si="411"/>
        <v>3961</v>
      </c>
      <c r="AR231" s="573">
        <f t="shared" si="411"/>
        <v>0</v>
      </c>
      <c r="AS231" s="609">
        <f>O231+AL231</f>
        <v>1</v>
      </c>
    </row>
    <row r="232" spans="1:45" ht="14.1" customHeight="1" x14ac:dyDescent="0.2">
      <c r="A232" s="499">
        <v>58</v>
      </c>
      <c r="B232" s="511">
        <v>2318</v>
      </c>
      <c r="C232" s="512">
        <v>600079546</v>
      </c>
      <c r="D232" s="511">
        <v>70695253</v>
      </c>
      <c r="E232" s="510" t="s">
        <v>632</v>
      </c>
      <c r="F232" s="499">
        <v>3111</v>
      </c>
      <c r="G232" s="513" t="s">
        <v>278</v>
      </c>
      <c r="H232" s="495" t="s">
        <v>263</v>
      </c>
      <c r="I232" s="610">
        <v>534949</v>
      </c>
      <c r="J232" s="490">
        <v>396847</v>
      </c>
      <c r="K232" s="490">
        <v>0</v>
      </c>
      <c r="L232" s="14">
        <v>134134</v>
      </c>
      <c r="M232" s="14">
        <v>3968</v>
      </c>
      <c r="N232" s="14">
        <v>0</v>
      </c>
      <c r="O232" s="664">
        <v>1</v>
      </c>
      <c r="P232" s="676">
        <f t="shared" si="368"/>
        <v>0</v>
      </c>
      <c r="Q232" s="492">
        <v>0</v>
      </c>
      <c r="R232" s="492">
        <v>0</v>
      </c>
      <c r="S232" s="492">
        <v>0</v>
      </c>
      <c r="T232" s="492">
        <v>0</v>
      </c>
      <c r="U232" s="492">
        <v>0</v>
      </c>
      <c r="V232" s="492">
        <f>P232+Q232+R232+S232+T232+U232</f>
        <v>0</v>
      </c>
      <c r="W232" s="492">
        <v>0</v>
      </c>
      <c r="X232" s="492">
        <v>0</v>
      </c>
      <c r="Y232" s="492">
        <v>0</v>
      </c>
      <c r="Z232" s="492">
        <f t="shared" si="407"/>
        <v>0</v>
      </c>
      <c r="AA232" s="492">
        <f t="shared" si="408"/>
        <v>0</v>
      </c>
      <c r="AB232" s="494">
        <f t="shared" si="409"/>
        <v>0</v>
      </c>
      <c r="AC232" s="494">
        <f>ROUND(V232*1%,0)</f>
        <v>0</v>
      </c>
      <c r="AD232" s="14">
        <v>0</v>
      </c>
      <c r="AE232" s="753">
        <f t="shared" si="369"/>
        <v>0</v>
      </c>
      <c r="AF232" s="858">
        <v>0</v>
      </c>
      <c r="AG232" s="491">
        <v>0</v>
      </c>
      <c r="AH232" s="491">
        <v>0</v>
      </c>
      <c r="AI232" s="491">
        <v>0</v>
      </c>
      <c r="AJ232" s="491">
        <v>0</v>
      </c>
      <c r="AK232" s="491">
        <v>0</v>
      </c>
      <c r="AL232" s="609">
        <f>SUM(AF232:AK232)</f>
        <v>0</v>
      </c>
      <c r="AM232" s="676">
        <f>I232+AE232</f>
        <v>534949</v>
      </c>
      <c r="AN232" s="492">
        <f>J232+V232</f>
        <v>396847</v>
      </c>
      <c r="AO232" s="492">
        <f t="shared" si="410"/>
        <v>0</v>
      </c>
      <c r="AP232" s="492">
        <f t="shared" si="411"/>
        <v>134134</v>
      </c>
      <c r="AQ232" s="492">
        <f t="shared" si="411"/>
        <v>3968</v>
      </c>
      <c r="AR232" s="573">
        <f t="shared" si="411"/>
        <v>0</v>
      </c>
      <c r="AS232" s="609">
        <f>O232+AL232</f>
        <v>1</v>
      </c>
    </row>
    <row r="233" spans="1:45" ht="14.1" customHeight="1" x14ac:dyDescent="0.2">
      <c r="A233" s="509">
        <v>58</v>
      </c>
      <c r="B233" s="507">
        <v>2318</v>
      </c>
      <c r="C233" s="508">
        <v>600079546</v>
      </c>
      <c r="D233" s="507">
        <v>70695253</v>
      </c>
      <c r="E233" s="505" t="s">
        <v>633</v>
      </c>
      <c r="F233" s="509"/>
      <c r="G233" s="505"/>
      <c r="H233" s="504"/>
      <c r="I233" s="612">
        <v>8126969</v>
      </c>
      <c r="J233" s="503">
        <v>5989206</v>
      </c>
      <c r="K233" s="503">
        <v>40000</v>
      </c>
      <c r="L233" s="503">
        <v>2037871</v>
      </c>
      <c r="M233" s="503">
        <v>59892</v>
      </c>
      <c r="N233" s="503">
        <v>0</v>
      </c>
      <c r="O233" s="837">
        <v>11</v>
      </c>
      <c r="P233" s="612">
        <f t="shared" ref="P233:AS233" si="412">SUM(P230:P232)</f>
        <v>0</v>
      </c>
      <c r="Q233" s="502">
        <f t="shared" si="412"/>
        <v>0</v>
      </c>
      <c r="R233" s="502">
        <f t="shared" si="412"/>
        <v>0</v>
      </c>
      <c r="S233" s="502">
        <f t="shared" si="412"/>
        <v>0</v>
      </c>
      <c r="T233" s="502">
        <f t="shared" si="412"/>
        <v>0</v>
      </c>
      <c r="U233" s="502">
        <f t="shared" si="412"/>
        <v>0</v>
      </c>
      <c r="V233" s="502">
        <f t="shared" si="412"/>
        <v>0</v>
      </c>
      <c r="W233" s="502">
        <f t="shared" si="412"/>
        <v>0</v>
      </c>
      <c r="X233" s="502">
        <f t="shared" si="412"/>
        <v>0</v>
      </c>
      <c r="Y233" s="502">
        <f t="shared" si="412"/>
        <v>0</v>
      </c>
      <c r="Z233" s="502">
        <f t="shared" si="412"/>
        <v>0</v>
      </c>
      <c r="AA233" s="502">
        <f t="shared" si="412"/>
        <v>0</v>
      </c>
      <c r="AB233" s="502">
        <f t="shared" si="412"/>
        <v>0</v>
      </c>
      <c r="AC233" s="502">
        <f t="shared" si="412"/>
        <v>0</v>
      </c>
      <c r="AD233" s="502">
        <f t="shared" si="412"/>
        <v>0</v>
      </c>
      <c r="AE233" s="852">
        <f t="shared" si="412"/>
        <v>0</v>
      </c>
      <c r="AF233" s="857">
        <f t="shared" si="412"/>
        <v>0</v>
      </c>
      <c r="AG233" s="848">
        <f t="shared" si="412"/>
        <v>0</v>
      </c>
      <c r="AH233" s="848">
        <f t="shared" si="412"/>
        <v>0</v>
      </c>
      <c r="AI233" s="848">
        <f t="shared" si="412"/>
        <v>0</v>
      </c>
      <c r="AJ233" s="848">
        <f t="shared" si="412"/>
        <v>0</v>
      </c>
      <c r="AK233" s="848">
        <f t="shared" si="412"/>
        <v>0</v>
      </c>
      <c r="AL233" s="613">
        <f t="shared" si="412"/>
        <v>0</v>
      </c>
      <c r="AM233" s="612">
        <f t="shared" si="412"/>
        <v>8126969</v>
      </c>
      <c r="AN233" s="502">
        <f t="shared" si="412"/>
        <v>5989206</v>
      </c>
      <c r="AO233" s="549">
        <f t="shared" si="412"/>
        <v>40000</v>
      </c>
      <c r="AP233" s="502">
        <f t="shared" si="412"/>
        <v>2037871</v>
      </c>
      <c r="AQ233" s="502">
        <f t="shared" si="412"/>
        <v>59892</v>
      </c>
      <c r="AR233" s="502">
        <f t="shared" si="412"/>
        <v>0</v>
      </c>
      <c r="AS233" s="613">
        <f t="shared" si="412"/>
        <v>11</v>
      </c>
    </row>
    <row r="234" spans="1:45" ht="14.1" customHeight="1" x14ac:dyDescent="0.2">
      <c r="A234" s="499">
        <v>59</v>
      </c>
      <c r="B234" s="511">
        <v>2452</v>
      </c>
      <c r="C234" s="512">
        <v>600079660</v>
      </c>
      <c r="D234" s="511">
        <v>70695261</v>
      </c>
      <c r="E234" s="510" t="s">
        <v>634</v>
      </c>
      <c r="F234" s="499">
        <v>3113</v>
      </c>
      <c r="G234" s="510" t="s">
        <v>280</v>
      </c>
      <c r="H234" s="495" t="s">
        <v>262</v>
      </c>
      <c r="I234" s="610">
        <v>33609602</v>
      </c>
      <c r="J234" s="14">
        <v>24863458</v>
      </c>
      <c r="K234" s="14">
        <v>70000</v>
      </c>
      <c r="L234" s="14">
        <v>8427509</v>
      </c>
      <c r="M234" s="14">
        <v>248635</v>
      </c>
      <c r="N234" s="14">
        <v>0</v>
      </c>
      <c r="O234" s="121">
        <v>33.903700000000001</v>
      </c>
      <c r="P234" s="676">
        <f t="shared" si="368"/>
        <v>0</v>
      </c>
      <c r="Q234" s="492">
        <v>0</v>
      </c>
      <c r="R234" s="492">
        <v>0</v>
      </c>
      <c r="S234" s="492">
        <v>0</v>
      </c>
      <c r="T234" s="492">
        <v>0</v>
      </c>
      <c r="U234" s="492">
        <v>0</v>
      </c>
      <c r="V234" s="492">
        <f t="shared" ref="V234:V239" si="413">P234+Q234+R234+S234+T234+U234</f>
        <v>0</v>
      </c>
      <c r="W234" s="492">
        <v>0</v>
      </c>
      <c r="X234" s="492">
        <v>0</v>
      </c>
      <c r="Y234" s="492">
        <v>0</v>
      </c>
      <c r="Z234" s="492">
        <f t="shared" ref="Z234:Z239" si="414">W234+X234+Y234</f>
        <v>0</v>
      </c>
      <c r="AA234" s="492">
        <f t="shared" ref="AA234:AA239" si="415">V234+Z234</f>
        <v>0</v>
      </c>
      <c r="AB234" s="494">
        <f t="shared" ref="AB234:AB239" si="416">ROUND((V234+Z234)*33.8%,0)</f>
        <v>0</v>
      </c>
      <c r="AC234" s="494">
        <f t="shared" ref="AC234:AC239" si="417">ROUND(V234*1%,0)</f>
        <v>0</v>
      </c>
      <c r="AD234" s="14">
        <v>0</v>
      </c>
      <c r="AE234" s="753">
        <f t="shared" si="369"/>
        <v>0</v>
      </c>
      <c r="AF234" s="858">
        <v>0</v>
      </c>
      <c r="AG234" s="491">
        <v>0</v>
      </c>
      <c r="AH234" s="491">
        <v>0</v>
      </c>
      <c r="AI234" s="491">
        <v>0</v>
      </c>
      <c r="AJ234" s="491">
        <v>0</v>
      </c>
      <c r="AK234" s="491">
        <v>0</v>
      </c>
      <c r="AL234" s="609">
        <f t="shared" ref="AL234:AL239" si="418">SUM(AF234:AK234)</f>
        <v>0</v>
      </c>
      <c r="AM234" s="676">
        <f t="shared" ref="AM234:AM239" si="419">I234+AE234</f>
        <v>33609602</v>
      </c>
      <c r="AN234" s="492">
        <f t="shared" ref="AN234:AN239" si="420">J234+V234</f>
        <v>24863458</v>
      </c>
      <c r="AO234" s="492">
        <f t="shared" ref="AO234:AO239" si="421">K234+Z234</f>
        <v>70000</v>
      </c>
      <c r="AP234" s="492">
        <f t="shared" ref="AP234:AR239" si="422">L234+AB234</f>
        <v>8427509</v>
      </c>
      <c r="AQ234" s="492">
        <f t="shared" si="422"/>
        <v>248635</v>
      </c>
      <c r="AR234" s="573">
        <f t="shared" si="422"/>
        <v>0</v>
      </c>
      <c r="AS234" s="609">
        <f t="shared" ref="AS234:AS239" si="423">O234+AL234</f>
        <v>33.903700000000001</v>
      </c>
    </row>
    <row r="235" spans="1:45" ht="14.1" customHeight="1" x14ac:dyDescent="0.2">
      <c r="A235" s="499">
        <v>59</v>
      </c>
      <c r="B235" s="511">
        <v>2452</v>
      </c>
      <c r="C235" s="512">
        <v>600079660</v>
      </c>
      <c r="D235" s="511">
        <v>70695261</v>
      </c>
      <c r="E235" s="510" t="s">
        <v>634</v>
      </c>
      <c r="F235" s="499">
        <v>3113</v>
      </c>
      <c r="G235" s="39" t="s">
        <v>279</v>
      </c>
      <c r="H235" s="495" t="s">
        <v>262</v>
      </c>
      <c r="I235" s="610">
        <v>1542849</v>
      </c>
      <c r="J235" s="14">
        <v>1144547</v>
      </c>
      <c r="K235" s="14">
        <v>0</v>
      </c>
      <c r="L235" s="14">
        <v>386857</v>
      </c>
      <c r="M235" s="14">
        <v>11445</v>
      </c>
      <c r="N235" s="14">
        <v>0</v>
      </c>
      <c r="O235" s="121">
        <v>3.0556000000000001</v>
      </c>
      <c r="P235" s="676">
        <f t="shared" si="368"/>
        <v>0</v>
      </c>
      <c r="Q235" s="492">
        <v>0</v>
      </c>
      <c r="R235" s="492">
        <v>0</v>
      </c>
      <c r="S235" s="492">
        <v>0</v>
      </c>
      <c r="T235" s="492">
        <v>0</v>
      </c>
      <c r="U235" s="492">
        <v>0</v>
      </c>
      <c r="V235" s="492">
        <f t="shared" si="413"/>
        <v>0</v>
      </c>
      <c r="W235" s="492">
        <v>0</v>
      </c>
      <c r="X235" s="492">
        <v>0</v>
      </c>
      <c r="Y235" s="492">
        <v>0</v>
      </c>
      <c r="Z235" s="492">
        <f t="shared" si="414"/>
        <v>0</v>
      </c>
      <c r="AA235" s="492">
        <f t="shared" si="415"/>
        <v>0</v>
      </c>
      <c r="AB235" s="494">
        <f t="shared" si="416"/>
        <v>0</v>
      </c>
      <c r="AC235" s="494">
        <f t="shared" si="417"/>
        <v>0</v>
      </c>
      <c r="AD235" s="14">
        <v>0</v>
      </c>
      <c r="AE235" s="753">
        <f t="shared" si="369"/>
        <v>0</v>
      </c>
      <c r="AF235" s="858">
        <v>0</v>
      </c>
      <c r="AG235" s="491">
        <v>0</v>
      </c>
      <c r="AH235" s="491">
        <v>0</v>
      </c>
      <c r="AI235" s="491">
        <v>0</v>
      </c>
      <c r="AJ235" s="491">
        <v>0</v>
      </c>
      <c r="AK235" s="491">
        <v>0</v>
      </c>
      <c r="AL235" s="609">
        <f t="shared" si="418"/>
        <v>0</v>
      </c>
      <c r="AM235" s="676">
        <f t="shared" si="419"/>
        <v>1542849</v>
      </c>
      <c r="AN235" s="492">
        <f t="shared" si="420"/>
        <v>1144547</v>
      </c>
      <c r="AO235" s="492">
        <f t="shared" si="421"/>
        <v>0</v>
      </c>
      <c r="AP235" s="492">
        <f t="shared" si="422"/>
        <v>386857</v>
      </c>
      <c r="AQ235" s="492">
        <f t="shared" si="422"/>
        <v>11445</v>
      </c>
      <c r="AR235" s="573">
        <f t="shared" si="422"/>
        <v>0</v>
      </c>
      <c r="AS235" s="609">
        <f t="shared" si="423"/>
        <v>3.0556000000000001</v>
      </c>
    </row>
    <row r="236" spans="1:45" ht="14.1" customHeight="1" x14ac:dyDescent="0.2">
      <c r="A236" s="499">
        <v>59</v>
      </c>
      <c r="B236" s="511">
        <v>2452</v>
      </c>
      <c r="C236" s="512">
        <v>600079660</v>
      </c>
      <c r="D236" s="511">
        <v>70695261</v>
      </c>
      <c r="E236" s="510" t="s">
        <v>634</v>
      </c>
      <c r="F236" s="499">
        <v>3113</v>
      </c>
      <c r="G236" s="39" t="s">
        <v>799</v>
      </c>
      <c r="H236" s="495" t="s">
        <v>262</v>
      </c>
      <c r="I236" s="610">
        <v>245034</v>
      </c>
      <c r="J236" s="490">
        <v>181776</v>
      </c>
      <c r="K236" s="490">
        <v>0</v>
      </c>
      <c r="L236" s="14">
        <v>61440</v>
      </c>
      <c r="M236" s="14">
        <v>1818</v>
      </c>
      <c r="N236" s="14">
        <v>0</v>
      </c>
      <c r="O236" s="664">
        <v>0.33</v>
      </c>
      <c r="P236" s="676">
        <f t="shared" si="368"/>
        <v>0</v>
      </c>
      <c r="Q236" s="492">
        <v>0</v>
      </c>
      <c r="R236" s="492">
        <v>0</v>
      </c>
      <c r="S236" s="492">
        <v>0</v>
      </c>
      <c r="T236" s="492">
        <v>0</v>
      </c>
      <c r="U236" s="492">
        <v>0</v>
      </c>
      <c r="V236" s="492">
        <f t="shared" si="413"/>
        <v>0</v>
      </c>
      <c r="W236" s="492">
        <v>0</v>
      </c>
      <c r="X236" s="492">
        <v>0</v>
      </c>
      <c r="Y236" s="492">
        <v>0</v>
      </c>
      <c r="Z236" s="492">
        <f t="shared" ref="Z236" si="424">W236+X236+Y236</f>
        <v>0</v>
      </c>
      <c r="AA236" s="492">
        <f t="shared" ref="AA236" si="425">V236+Z236</f>
        <v>0</v>
      </c>
      <c r="AB236" s="494">
        <f t="shared" ref="AB236" si="426">ROUND((V236+Z236)*33.8%,0)</f>
        <v>0</v>
      </c>
      <c r="AC236" s="494">
        <f t="shared" ref="AC236" si="427">ROUND(V236*1%,0)</f>
        <v>0</v>
      </c>
      <c r="AD236" s="14">
        <v>0</v>
      </c>
      <c r="AE236" s="753">
        <f t="shared" si="369"/>
        <v>0</v>
      </c>
      <c r="AF236" s="858">
        <v>0</v>
      </c>
      <c r="AG236" s="491">
        <v>0</v>
      </c>
      <c r="AH236" s="491">
        <v>0</v>
      </c>
      <c r="AI236" s="491">
        <v>0</v>
      </c>
      <c r="AJ236" s="491">
        <v>0</v>
      </c>
      <c r="AK236" s="491">
        <v>0</v>
      </c>
      <c r="AL236" s="609">
        <f t="shared" si="418"/>
        <v>0</v>
      </c>
      <c r="AM236" s="676">
        <f t="shared" si="419"/>
        <v>245034</v>
      </c>
      <c r="AN236" s="492">
        <f t="shared" si="420"/>
        <v>181776</v>
      </c>
      <c r="AO236" s="492">
        <f t="shared" si="421"/>
        <v>0</v>
      </c>
      <c r="AP236" s="492">
        <f t="shared" si="422"/>
        <v>61440</v>
      </c>
      <c r="AQ236" s="492">
        <f t="shared" si="422"/>
        <v>1818</v>
      </c>
      <c r="AR236" s="573">
        <f t="shared" si="422"/>
        <v>0</v>
      </c>
      <c r="AS236" s="609">
        <f t="shared" si="423"/>
        <v>0.33</v>
      </c>
    </row>
    <row r="237" spans="1:45" ht="14.1" customHeight="1" x14ac:dyDescent="0.2">
      <c r="A237" s="499">
        <v>59</v>
      </c>
      <c r="B237" s="511">
        <v>2452</v>
      </c>
      <c r="C237" s="512">
        <v>600079660</v>
      </c>
      <c r="D237" s="511">
        <v>70695261</v>
      </c>
      <c r="E237" s="510" t="s">
        <v>634</v>
      </c>
      <c r="F237" s="499">
        <v>3113</v>
      </c>
      <c r="G237" s="513" t="s">
        <v>278</v>
      </c>
      <c r="H237" s="495" t="s">
        <v>263</v>
      </c>
      <c r="I237" s="610">
        <v>3043198</v>
      </c>
      <c r="J237" s="490">
        <v>2257565</v>
      </c>
      <c r="K237" s="490">
        <v>0</v>
      </c>
      <c r="L237" s="14">
        <v>763057</v>
      </c>
      <c r="M237" s="14">
        <v>22576</v>
      </c>
      <c r="N237" s="14">
        <v>0</v>
      </c>
      <c r="O237" s="664">
        <v>5.62</v>
      </c>
      <c r="P237" s="676">
        <f t="shared" si="368"/>
        <v>0</v>
      </c>
      <c r="Q237" s="492">
        <f>22075+19868</f>
        <v>41943</v>
      </c>
      <c r="R237" s="492">
        <v>0</v>
      </c>
      <c r="S237" s="492">
        <v>0</v>
      </c>
      <c r="T237" s="492">
        <v>0</v>
      </c>
      <c r="U237" s="492">
        <v>0</v>
      </c>
      <c r="V237" s="492">
        <f t="shared" si="413"/>
        <v>41943</v>
      </c>
      <c r="W237" s="492">
        <v>0</v>
      </c>
      <c r="X237" s="492">
        <v>0</v>
      </c>
      <c r="Y237" s="492">
        <v>0</v>
      </c>
      <c r="Z237" s="492">
        <f t="shared" si="414"/>
        <v>0</v>
      </c>
      <c r="AA237" s="492">
        <f t="shared" si="415"/>
        <v>41943</v>
      </c>
      <c r="AB237" s="494">
        <f t="shared" si="416"/>
        <v>14177</v>
      </c>
      <c r="AC237" s="494">
        <f t="shared" si="417"/>
        <v>419</v>
      </c>
      <c r="AD237" s="14">
        <v>0</v>
      </c>
      <c r="AE237" s="753">
        <f t="shared" si="369"/>
        <v>56539</v>
      </c>
      <c r="AF237" s="858">
        <v>0</v>
      </c>
      <c r="AG237" s="491">
        <f>0.04+0.04</f>
        <v>0.08</v>
      </c>
      <c r="AH237" s="491">
        <v>0</v>
      </c>
      <c r="AI237" s="491">
        <v>0</v>
      </c>
      <c r="AJ237" s="491">
        <v>0</v>
      </c>
      <c r="AK237" s="491">
        <v>0</v>
      </c>
      <c r="AL237" s="609">
        <f t="shared" si="418"/>
        <v>0.08</v>
      </c>
      <c r="AM237" s="676">
        <f t="shared" si="419"/>
        <v>3099737</v>
      </c>
      <c r="AN237" s="492">
        <f t="shared" si="420"/>
        <v>2299508</v>
      </c>
      <c r="AO237" s="492">
        <f t="shared" si="421"/>
        <v>0</v>
      </c>
      <c r="AP237" s="492">
        <f t="shared" si="422"/>
        <v>777234</v>
      </c>
      <c r="AQ237" s="492">
        <f t="shared" si="422"/>
        <v>22995</v>
      </c>
      <c r="AR237" s="573">
        <f t="shared" si="422"/>
        <v>0</v>
      </c>
      <c r="AS237" s="609">
        <f t="shared" si="423"/>
        <v>5.7</v>
      </c>
    </row>
    <row r="238" spans="1:45" ht="14.1" customHeight="1" x14ac:dyDescent="0.2">
      <c r="A238" s="499">
        <v>59</v>
      </c>
      <c r="B238" s="511">
        <v>2452</v>
      </c>
      <c r="C238" s="512">
        <v>600079660</v>
      </c>
      <c r="D238" s="511">
        <v>70695261</v>
      </c>
      <c r="E238" s="510" t="s">
        <v>634</v>
      </c>
      <c r="F238" s="499">
        <v>3143</v>
      </c>
      <c r="G238" s="513" t="s">
        <v>794</v>
      </c>
      <c r="H238" s="495" t="s">
        <v>262</v>
      </c>
      <c r="I238" s="610">
        <v>4591030</v>
      </c>
      <c r="J238" s="14">
        <v>3405809</v>
      </c>
      <c r="K238" s="14">
        <v>0</v>
      </c>
      <c r="L238" s="14">
        <v>1151163</v>
      </c>
      <c r="M238" s="14">
        <v>34058</v>
      </c>
      <c r="N238" s="14">
        <v>0</v>
      </c>
      <c r="O238" s="121">
        <v>6.5891999999999999</v>
      </c>
      <c r="P238" s="676">
        <f t="shared" si="368"/>
        <v>0</v>
      </c>
      <c r="Q238" s="492">
        <v>0</v>
      </c>
      <c r="R238" s="492">
        <v>0</v>
      </c>
      <c r="S238" s="492">
        <v>0</v>
      </c>
      <c r="T238" s="492">
        <v>0</v>
      </c>
      <c r="U238" s="492">
        <v>0</v>
      </c>
      <c r="V238" s="492">
        <f t="shared" si="413"/>
        <v>0</v>
      </c>
      <c r="W238" s="492">
        <v>0</v>
      </c>
      <c r="X238" s="492">
        <v>0</v>
      </c>
      <c r="Y238" s="492">
        <v>0</v>
      </c>
      <c r="Z238" s="492">
        <f t="shared" si="414"/>
        <v>0</v>
      </c>
      <c r="AA238" s="492">
        <f t="shared" si="415"/>
        <v>0</v>
      </c>
      <c r="AB238" s="494">
        <f t="shared" si="416"/>
        <v>0</v>
      </c>
      <c r="AC238" s="494">
        <f t="shared" si="417"/>
        <v>0</v>
      </c>
      <c r="AD238" s="14">
        <v>0</v>
      </c>
      <c r="AE238" s="753">
        <f t="shared" si="369"/>
        <v>0</v>
      </c>
      <c r="AF238" s="858">
        <v>0</v>
      </c>
      <c r="AG238" s="491">
        <v>0</v>
      </c>
      <c r="AH238" s="491">
        <v>0</v>
      </c>
      <c r="AI238" s="491">
        <v>0</v>
      </c>
      <c r="AJ238" s="491">
        <v>0</v>
      </c>
      <c r="AK238" s="491">
        <v>0</v>
      </c>
      <c r="AL238" s="609">
        <f t="shared" si="418"/>
        <v>0</v>
      </c>
      <c r="AM238" s="676">
        <f t="shared" si="419"/>
        <v>4591030</v>
      </c>
      <c r="AN238" s="492">
        <f t="shared" si="420"/>
        <v>3405809</v>
      </c>
      <c r="AO238" s="492">
        <f t="shared" si="421"/>
        <v>0</v>
      </c>
      <c r="AP238" s="492">
        <f t="shared" si="422"/>
        <v>1151163</v>
      </c>
      <c r="AQ238" s="492">
        <f t="shared" si="422"/>
        <v>34058</v>
      </c>
      <c r="AR238" s="573">
        <f t="shared" si="422"/>
        <v>0</v>
      </c>
      <c r="AS238" s="609">
        <f t="shared" si="423"/>
        <v>6.5891999999999999</v>
      </c>
    </row>
    <row r="239" spans="1:45" ht="14.1" customHeight="1" x14ac:dyDescent="0.2">
      <c r="A239" s="499">
        <v>59</v>
      </c>
      <c r="B239" s="511">
        <v>2452</v>
      </c>
      <c r="C239" s="512">
        <v>600079660</v>
      </c>
      <c r="D239" s="511">
        <v>70695261</v>
      </c>
      <c r="E239" s="510" t="s">
        <v>634</v>
      </c>
      <c r="F239" s="499">
        <v>3143</v>
      </c>
      <c r="G239" s="513" t="s">
        <v>282</v>
      </c>
      <c r="H239" s="495" t="s">
        <v>263</v>
      </c>
      <c r="I239" s="610">
        <v>647970</v>
      </c>
      <c r="J239" s="490">
        <v>480690</v>
      </c>
      <c r="K239" s="490">
        <v>0</v>
      </c>
      <c r="L239" s="14">
        <v>162473</v>
      </c>
      <c r="M239" s="14">
        <v>4807</v>
      </c>
      <c r="N239" s="14">
        <v>0</v>
      </c>
      <c r="O239" s="664">
        <v>0.89</v>
      </c>
      <c r="P239" s="676">
        <f t="shared" si="368"/>
        <v>0</v>
      </c>
      <c r="Q239" s="492">
        <v>0</v>
      </c>
      <c r="R239" s="492">
        <v>0</v>
      </c>
      <c r="S239" s="492">
        <v>0</v>
      </c>
      <c r="T239" s="492">
        <v>0</v>
      </c>
      <c r="U239" s="492">
        <v>0</v>
      </c>
      <c r="V239" s="492">
        <f t="shared" si="413"/>
        <v>0</v>
      </c>
      <c r="W239" s="492">
        <v>0</v>
      </c>
      <c r="X239" s="492">
        <v>0</v>
      </c>
      <c r="Y239" s="492">
        <v>0</v>
      </c>
      <c r="Z239" s="492">
        <f t="shared" si="414"/>
        <v>0</v>
      </c>
      <c r="AA239" s="492">
        <f t="shared" si="415"/>
        <v>0</v>
      </c>
      <c r="AB239" s="494">
        <f t="shared" si="416"/>
        <v>0</v>
      </c>
      <c r="AC239" s="494">
        <f t="shared" si="417"/>
        <v>0</v>
      </c>
      <c r="AD239" s="14">
        <v>0</v>
      </c>
      <c r="AE239" s="753">
        <f t="shared" si="369"/>
        <v>0</v>
      </c>
      <c r="AF239" s="858">
        <v>0</v>
      </c>
      <c r="AG239" s="491">
        <v>0</v>
      </c>
      <c r="AH239" s="491">
        <v>0</v>
      </c>
      <c r="AI239" s="491">
        <v>0</v>
      </c>
      <c r="AJ239" s="491">
        <v>0</v>
      </c>
      <c r="AK239" s="491">
        <v>0</v>
      </c>
      <c r="AL239" s="609">
        <f t="shared" si="418"/>
        <v>0</v>
      </c>
      <c r="AM239" s="676">
        <f t="shared" si="419"/>
        <v>647970</v>
      </c>
      <c r="AN239" s="492">
        <f t="shared" si="420"/>
        <v>480690</v>
      </c>
      <c r="AO239" s="492">
        <f t="shared" si="421"/>
        <v>0</v>
      </c>
      <c r="AP239" s="492">
        <f t="shared" si="422"/>
        <v>162473</v>
      </c>
      <c r="AQ239" s="492">
        <f t="shared" si="422"/>
        <v>4807</v>
      </c>
      <c r="AR239" s="573">
        <f t="shared" si="422"/>
        <v>0</v>
      </c>
      <c r="AS239" s="609">
        <f t="shared" si="423"/>
        <v>0.89</v>
      </c>
    </row>
    <row r="240" spans="1:45" ht="14.1" customHeight="1" x14ac:dyDescent="0.2">
      <c r="A240" s="509">
        <v>59</v>
      </c>
      <c r="B240" s="507">
        <v>2452</v>
      </c>
      <c r="C240" s="508">
        <v>600079660</v>
      </c>
      <c r="D240" s="507">
        <v>70695261</v>
      </c>
      <c r="E240" s="505" t="s">
        <v>635</v>
      </c>
      <c r="F240" s="509"/>
      <c r="G240" s="505"/>
      <c r="H240" s="504"/>
      <c r="I240" s="612">
        <v>43679683</v>
      </c>
      <c r="J240" s="503">
        <v>32333845</v>
      </c>
      <c r="K240" s="503">
        <v>70000</v>
      </c>
      <c r="L240" s="503">
        <v>10952499</v>
      </c>
      <c r="M240" s="503">
        <v>323339</v>
      </c>
      <c r="N240" s="503">
        <v>0</v>
      </c>
      <c r="O240" s="837">
        <v>50.388499999999993</v>
      </c>
      <c r="P240" s="612">
        <f t="shared" ref="P240:AS240" si="428">SUM(P234:P239)</f>
        <v>0</v>
      </c>
      <c r="Q240" s="502">
        <f t="shared" si="428"/>
        <v>41943</v>
      </c>
      <c r="R240" s="502">
        <f t="shared" si="428"/>
        <v>0</v>
      </c>
      <c r="S240" s="502">
        <f t="shared" si="428"/>
        <v>0</v>
      </c>
      <c r="T240" s="502">
        <f t="shared" si="428"/>
        <v>0</v>
      </c>
      <c r="U240" s="502">
        <f t="shared" si="428"/>
        <v>0</v>
      </c>
      <c r="V240" s="502">
        <f t="shared" si="428"/>
        <v>41943</v>
      </c>
      <c r="W240" s="502">
        <f t="shared" si="428"/>
        <v>0</v>
      </c>
      <c r="X240" s="502">
        <f t="shared" si="428"/>
        <v>0</v>
      </c>
      <c r="Y240" s="502">
        <f t="shared" si="428"/>
        <v>0</v>
      </c>
      <c r="Z240" s="502">
        <f t="shared" si="428"/>
        <v>0</v>
      </c>
      <c r="AA240" s="502">
        <f t="shared" si="428"/>
        <v>41943</v>
      </c>
      <c r="AB240" s="502">
        <f t="shared" si="428"/>
        <v>14177</v>
      </c>
      <c r="AC240" s="502">
        <f t="shared" si="428"/>
        <v>419</v>
      </c>
      <c r="AD240" s="502">
        <f t="shared" si="428"/>
        <v>0</v>
      </c>
      <c r="AE240" s="852">
        <f t="shared" si="428"/>
        <v>56539</v>
      </c>
      <c r="AF240" s="857">
        <f t="shared" si="428"/>
        <v>0</v>
      </c>
      <c r="AG240" s="848">
        <f t="shared" si="428"/>
        <v>0.08</v>
      </c>
      <c r="AH240" s="848">
        <f t="shared" si="428"/>
        <v>0</v>
      </c>
      <c r="AI240" s="848">
        <f t="shared" si="428"/>
        <v>0</v>
      </c>
      <c r="AJ240" s="848">
        <f t="shared" si="428"/>
        <v>0</v>
      </c>
      <c r="AK240" s="848">
        <f t="shared" si="428"/>
        <v>0</v>
      </c>
      <c r="AL240" s="613">
        <f t="shared" si="428"/>
        <v>0.08</v>
      </c>
      <c r="AM240" s="612">
        <f t="shared" si="428"/>
        <v>43736222</v>
      </c>
      <c r="AN240" s="502">
        <f t="shared" si="428"/>
        <v>32375788</v>
      </c>
      <c r="AO240" s="549">
        <f t="shared" si="428"/>
        <v>70000</v>
      </c>
      <c r="AP240" s="502">
        <f t="shared" si="428"/>
        <v>10966676</v>
      </c>
      <c r="AQ240" s="502">
        <f t="shared" si="428"/>
        <v>323758</v>
      </c>
      <c r="AR240" s="502">
        <f t="shared" si="428"/>
        <v>0</v>
      </c>
      <c r="AS240" s="613">
        <f t="shared" si="428"/>
        <v>50.468499999999999</v>
      </c>
    </row>
    <row r="241" spans="1:45" ht="14.1" customHeight="1" x14ac:dyDescent="0.2">
      <c r="A241" s="499">
        <v>60</v>
      </c>
      <c r="B241" s="511">
        <v>2319</v>
      </c>
      <c r="C241" s="512">
        <v>600080218</v>
      </c>
      <c r="D241" s="511">
        <v>70695245</v>
      </c>
      <c r="E241" s="510" t="s">
        <v>636</v>
      </c>
      <c r="F241" s="499">
        <v>3231</v>
      </c>
      <c r="G241" s="510" t="s">
        <v>281</v>
      </c>
      <c r="H241" s="495" t="s">
        <v>262</v>
      </c>
      <c r="I241" s="610">
        <v>8581825</v>
      </c>
      <c r="J241" s="14">
        <v>6366339</v>
      </c>
      <c r="K241" s="14">
        <v>0</v>
      </c>
      <c r="L241" s="14">
        <v>2151823</v>
      </c>
      <c r="M241" s="14">
        <v>63663</v>
      </c>
      <c r="N241" s="14">
        <v>0</v>
      </c>
      <c r="O241" s="664">
        <v>9.5627999999999993</v>
      </c>
      <c r="P241" s="676">
        <f t="shared" si="368"/>
        <v>0</v>
      </c>
      <c r="Q241" s="492">
        <v>0</v>
      </c>
      <c r="R241" s="492">
        <v>0</v>
      </c>
      <c r="S241" s="492">
        <v>0</v>
      </c>
      <c r="T241" s="492">
        <v>0</v>
      </c>
      <c r="U241" s="492">
        <v>0</v>
      </c>
      <c r="V241" s="492">
        <f>P241+Q241+R241+S241+T241+U241</f>
        <v>0</v>
      </c>
      <c r="W241" s="492">
        <v>0</v>
      </c>
      <c r="X241" s="492">
        <v>0</v>
      </c>
      <c r="Y241" s="492">
        <v>0</v>
      </c>
      <c r="Z241" s="492">
        <f>W241+X241+Y241</f>
        <v>0</v>
      </c>
      <c r="AA241" s="492">
        <f>V241+Z241</f>
        <v>0</v>
      </c>
      <c r="AB241" s="494">
        <f>ROUND((V241+Z241)*33.8%,0)</f>
        <v>0</v>
      </c>
      <c r="AC241" s="494">
        <f>ROUND(V241*1%,0)</f>
        <v>0</v>
      </c>
      <c r="AD241" s="14">
        <v>0</v>
      </c>
      <c r="AE241" s="753">
        <f t="shared" si="369"/>
        <v>0</v>
      </c>
      <c r="AF241" s="858">
        <v>0</v>
      </c>
      <c r="AG241" s="491">
        <v>0</v>
      </c>
      <c r="AH241" s="491">
        <v>0</v>
      </c>
      <c r="AI241" s="491">
        <v>0</v>
      </c>
      <c r="AJ241" s="491">
        <v>0</v>
      </c>
      <c r="AK241" s="491">
        <v>0</v>
      </c>
      <c r="AL241" s="609">
        <f>SUM(AF241:AK241)</f>
        <v>0</v>
      </c>
      <c r="AM241" s="676">
        <f>I241+AE241</f>
        <v>8581825</v>
      </c>
      <c r="AN241" s="492">
        <f>J241+V241</f>
        <v>6366339</v>
      </c>
      <c r="AO241" s="492">
        <f>K241+Z241</f>
        <v>0</v>
      </c>
      <c r="AP241" s="492">
        <f>L241+AB241</f>
        <v>2151823</v>
      </c>
      <c r="AQ241" s="492">
        <f>M241+AC241</f>
        <v>63663</v>
      </c>
      <c r="AR241" s="573">
        <f>N241+AD241</f>
        <v>0</v>
      </c>
      <c r="AS241" s="609">
        <f>O241+AL241</f>
        <v>9.5627999999999993</v>
      </c>
    </row>
    <row r="242" spans="1:45" ht="14.1" customHeight="1" x14ac:dyDescent="0.2">
      <c r="A242" s="509">
        <v>60</v>
      </c>
      <c r="B242" s="507">
        <v>2319</v>
      </c>
      <c r="C242" s="508">
        <v>600080218</v>
      </c>
      <c r="D242" s="507">
        <v>70695245</v>
      </c>
      <c r="E242" s="505" t="s">
        <v>637</v>
      </c>
      <c r="F242" s="509"/>
      <c r="G242" s="505"/>
      <c r="H242" s="504"/>
      <c r="I242" s="615">
        <v>8581825</v>
      </c>
      <c r="J242" s="517">
        <v>6366339</v>
      </c>
      <c r="K242" s="517">
        <v>0</v>
      </c>
      <c r="L242" s="517">
        <v>2151823</v>
      </c>
      <c r="M242" s="517">
        <v>63663</v>
      </c>
      <c r="N242" s="517">
        <v>0</v>
      </c>
      <c r="O242" s="838">
        <v>9.5627999999999993</v>
      </c>
      <c r="P242" s="615">
        <f t="shared" ref="P242:AO242" si="429">SUM(P241)</f>
        <v>0</v>
      </c>
      <c r="Q242" s="516">
        <f t="shared" si="429"/>
        <v>0</v>
      </c>
      <c r="R242" s="516">
        <f t="shared" si="429"/>
        <v>0</v>
      </c>
      <c r="S242" s="516">
        <f t="shared" si="429"/>
        <v>0</v>
      </c>
      <c r="T242" s="516">
        <f t="shared" si="429"/>
        <v>0</v>
      </c>
      <c r="U242" s="516">
        <f t="shared" si="429"/>
        <v>0</v>
      </c>
      <c r="V242" s="516">
        <f t="shared" si="429"/>
        <v>0</v>
      </c>
      <c r="W242" s="516">
        <f t="shared" si="429"/>
        <v>0</v>
      </c>
      <c r="X242" s="516">
        <f t="shared" si="429"/>
        <v>0</v>
      </c>
      <c r="Y242" s="516">
        <f t="shared" si="429"/>
        <v>0</v>
      </c>
      <c r="Z242" s="516">
        <f t="shared" si="429"/>
        <v>0</v>
      </c>
      <c r="AA242" s="516">
        <f t="shared" si="429"/>
        <v>0</v>
      </c>
      <c r="AB242" s="516">
        <f t="shared" si="429"/>
        <v>0</v>
      </c>
      <c r="AC242" s="516">
        <f t="shared" si="429"/>
        <v>0</v>
      </c>
      <c r="AD242" s="516">
        <f t="shared" si="429"/>
        <v>0</v>
      </c>
      <c r="AE242" s="853">
        <f t="shared" si="429"/>
        <v>0</v>
      </c>
      <c r="AF242" s="859">
        <f t="shared" si="429"/>
        <v>0</v>
      </c>
      <c r="AG242" s="849">
        <f t="shared" si="429"/>
        <v>0</v>
      </c>
      <c r="AH242" s="849">
        <f t="shared" si="429"/>
        <v>0</v>
      </c>
      <c r="AI242" s="849">
        <f t="shared" si="429"/>
        <v>0</v>
      </c>
      <c r="AJ242" s="849">
        <f t="shared" si="429"/>
        <v>0</v>
      </c>
      <c r="AK242" s="849">
        <f t="shared" si="429"/>
        <v>0</v>
      </c>
      <c r="AL242" s="616">
        <f t="shared" si="429"/>
        <v>0</v>
      </c>
      <c r="AM242" s="615">
        <f t="shared" si="429"/>
        <v>8581825</v>
      </c>
      <c r="AN242" s="516">
        <f t="shared" si="429"/>
        <v>6366339</v>
      </c>
      <c r="AO242" s="550">
        <f t="shared" si="429"/>
        <v>0</v>
      </c>
      <c r="AP242" s="516">
        <f t="shared" ref="AP242:AS242" si="430">SUM(AP241)</f>
        <v>2151823</v>
      </c>
      <c r="AQ242" s="516">
        <f t="shared" si="430"/>
        <v>63663</v>
      </c>
      <c r="AR242" s="516">
        <f t="shared" si="430"/>
        <v>0</v>
      </c>
      <c r="AS242" s="616">
        <f t="shared" si="430"/>
        <v>9.5627999999999993</v>
      </c>
    </row>
    <row r="243" spans="1:45" ht="14.1" customHeight="1" x14ac:dyDescent="0.2">
      <c r="A243" s="499">
        <v>61</v>
      </c>
      <c r="B243" s="511">
        <v>2444</v>
      </c>
      <c r="C243" s="512">
        <v>600079848</v>
      </c>
      <c r="D243" s="511">
        <v>72742836</v>
      </c>
      <c r="E243" s="510" t="s">
        <v>638</v>
      </c>
      <c r="F243" s="499">
        <v>3111</v>
      </c>
      <c r="G243" s="510" t="s">
        <v>277</v>
      </c>
      <c r="H243" s="495" t="s">
        <v>262</v>
      </c>
      <c r="I243" s="610">
        <v>4693831</v>
      </c>
      <c r="J243" s="14">
        <v>3482070</v>
      </c>
      <c r="K243" s="14">
        <v>0</v>
      </c>
      <c r="L243" s="14">
        <v>1176940</v>
      </c>
      <c r="M243" s="14">
        <v>34821</v>
      </c>
      <c r="N243" s="14">
        <v>0</v>
      </c>
      <c r="O243" s="121">
        <v>6</v>
      </c>
      <c r="P243" s="676">
        <f t="shared" si="368"/>
        <v>0</v>
      </c>
      <c r="Q243" s="492">
        <v>0</v>
      </c>
      <c r="R243" s="492">
        <v>0</v>
      </c>
      <c r="S243" s="492">
        <v>0</v>
      </c>
      <c r="T243" s="492">
        <v>0</v>
      </c>
      <c r="U243" s="492">
        <v>0</v>
      </c>
      <c r="V243" s="492">
        <f>P243+Q243+R243+S243+T243+U243</f>
        <v>0</v>
      </c>
      <c r="W243" s="492">
        <v>0</v>
      </c>
      <c r="X243" s="492">
        <v>0</v>
      </c>
      <c r="Y243" s="492">
        <v>0</v>
      </c>
      <c r="Z243" s="492">
        <f t="shared" ref="Z243:Z246" si="431">W243+X243+Y243</f>
        <v>0</v>
      </c>
      <c r="AA243" s="492">
        <f t="shared" ref="AA243:AA246" si="432">V243+Z243</f>
        <v>0</v>
      </c>
      <c r="AB243" s="494">
        <f t="shared" ref="AB243:AB246" si="433">ROUND((V243+Z243)*33.8%,0)</f>
        <v>0</v>
      </c>
      <c r="AC243" s="494">
        <f t="shared" ref="AC243:AC246" si="434">ROUND(V243*1%,0)</f>
        <v>0</v>
      </c>
      <c r="AD243" s="14">
        <v>0</v>
      </c>
      <c r="AE243" s="753">
        <f t="shared" si="369"/>
        <v>0</v>
      </c>
      <c r="AF243" s="858">
        <v>0</v>
      </c>
      <c r="AG243" s="491">
        <v>0</v>
      </c>
      <c r="AH243" s="491">
        <v>0</v>
      </c>
      <c r="AI243" s="491">
        <v>0</v>
      </c>
      <c r="AJ243" s="491">
        <v>0</v>
      </c>
      <c r="AK243" s="491">
        <v>0</v>
      </c>
      <c r="AL243" s="609">
        <f>SUM(AF243:AK243)</f>
        <v>0</v>
      </c>
      <c r="AM243" s="676">
        <f>I243+AE243</f>
        <v>4693831</v>
      </c>
      <c r="AN243" s="492">
        <f>J243+V243</f>
        <v>3482070</v>
      </c>
      <c r="AO243" s="492">
        <f t="shared" ref="AO243:AO246" si="435">K243+Z243</f>
        <v>0</v>
      </c>
      <c r="AP243" s="492">
        <f t="shared" ref="AP243:AR246" si="436">L243+AB243</f>
        <v>1176940</v>
      </c>
      <c r="AQ243" s="492">
        <f t="shared" si="436"/>
        <v>34821</v>
      </c>
      <c r="AR243" s="573">
        <f t="shared" si="436"/>
        <v>0</v>
      </c>
      <c r="AS243" s="609">
        <f>O243+AL243</f>
        <v>6</v>
      </c>
    </row>
    <row r="244" spans="1:45" ht="14.1" customHeight="1" x14ac:dyDescent="0.2">
      <c r="A244" s="499">
        <v>61</v>
      </c>
      <c r="B244" s="511">
        <v>2444</v>
      </c>
      <c r="C244" s="512">
        <v>600079848</v>
      </c>
      <c r="D244" s="511">
        <v>72742836</v>
      </c>
      <c r="E244" s="510" t="s">
        <v>638</v>
      </c>
      <c r="F244" s="499">
        <v>3117</v>
      </c>
      <c r="G244" s="520" t="s">
        <v>280</v>
      </c>
      <c r="H244" s="495" t="s">
        <v>262</v>
      </c>
      <c r="I244" s="610">
        <v>3646747</v>
      </c>
      <c r="J244" s="14">
        <v>2690711</v>
      </c>
      <c r="K244" s="14">
        <v>14700</v>
      </c>
      <c r="L244" s="14">
        <v>914429</v>
      </c>
      <c r="M244" s="14">
        <v>26907</v>
      </c>
      <c r="N244" s="14">
        <v>0</v>
      </c>
      <c r="O244" s="121">
        <v>3.98</v>
      </c>
      <c r="P244" s="676">
        <f t="shared" si="368"/>
        <v>0</v>
      </c>
      <c r="Q244" s="492">
        <v>0</v>
      </c>
      <c r="R244" s="492">
        <v>0</v>
      </c>
      <c r="S244" s="492">
        <v>0</v>
      </c>
      <c r="T244" s="492">
        <v>0</v>
      </c>
      <c r="U244" s="492">
        <v>0</v>
      </c>
      <c r="V244" s="492">
        <f>P244+Q244+R244+S244+T244+U244</f>
        <v>0</v>
      </c>
      <c r="W244" s="492">
        <v>0</v>
      </c>
      <c r="X244" s="492">
        <v>0</v>
      </c>
      <c r="Y244" s="492">
        <v>0</v>
      </c>
      <c r="Z244" s="492">
        <f t="shared" si="431"/>
        <v>0</v>
      </c>
      <c r="AA244" s="492">
        <f t="shared" si="432"/>
        <v>0</v>
      </c>
      <c r="AB244" s="494">
        <f t="shared" si="433"/>
        <v>0</v>
      </c>
      <c r="AC244" s="494">
        <f t="shared" si="434"/>
        <v>0</v>
      </c>
      <c r="AD244" s="14">
        <v>0</v>
      </c>
      <c r="AE244" s="753">
        <f t="shared" si="369"/>
        <v>0</v>
      </c>
      <c r="AF244" s="858">
        <v>0</v>
      </c>
      <c r="AG244" s="491">
        <v>0</v>
      </c>
      <c r="AH244" s="491">
        <v>0</v>
      </c>
      <c r="AI244" s="491">
        <v>0</v>
      </c>
      <c r="AJ244" s="491">
        <v>0</v>
      </c>
      <c r="AK244" s="491">
        <v>0</v>
      </c>
      <c r="AL244" s="609">
        <f>SUM(AF244:AK244)</f>
        <v>0</v>
      </c>
      <c r="AM244" s="676">
        <f>I244+AE244</f>
        <v>3646747</v>
      </c>
      <c r="AN244" s="492">
        <f>J244+V244</f>
        <v>2690711</v>
      </c>
      <c r="AO244" s="492">
        <f t="shared" si="435"/>
        <v>14700</v>
      </c>
      <c r="AP244" s="492">
        <f t="shared" si="436"/>
        <v>914429</v>
      </c>
      <c r="AQ244" s="492">
        <f t="shared" si="436"/>
        <v>26907</v>
      </c>
      <c r="AR244" s="573">
        <f t="shared" si="436"/>
        <v>0</v>
      </c>
      <c r="AS244" s="609">
        <f>O244+AL244</f>
        <v>3.98</v>
      </c>
    </row>
    <row r="245" spans="1:45" ht="14.1" customHeight="1" x14ac:dyDescent="0.2">
      <c r="A245" s="499">
        <v>61</v>
      </c>
      <c r="B245" s="511">
        <v>2444</v>
      </c>
      <c r="C245" s="512">
        <v>600079848</v>
      </c>
      <c r="D245" s="511">
        <v>72742836</v>
      </c>
      <c r="E245" s="510" t="s">
        <v>638</v>
      </c>
      <c r="F245" s="499">
        <v>3117</v>
      </c>
      <c r="G245" s="513" t="s">
        <v>278</v>
      </c>
      <c r="H245" s="495" t="s">
        <v>263</v>
      </c>
      <c r="I245" s="610">
        <v>1742546</v>
      </c>
      <c r="J245" s="490">
        <v>1292690</v>
      </c>
      <c r="K245" s="490">
        <v>0</v>
      </c>
      <c r="L245" s="14">
        <v>436929</v>
      </c>
      <c r="M245" s="14">
        <v>12927</v>
      </c>
      <c r="N245" s="14">
        <v>0</v>
      </c>
      <c r="O245" s="664">
        <v>3.47</v>
      </c>
      <c r="P245" s="676">
        <f t="shared" si="368"/>
        <v>0</v>
      </c>
      <c r="Q245" s="492">
        <v>111498</v>
      </c>
      <c r="R245" s="492">
        <v>0</v>
      </c>
      <c r="S245" s="492">
        <v>0</v>
      </c>
      <c r="T245" s="492">
        <v>0</v>
      </c>
      <c r="U245" s="492">
        <v>0</v>
      </c>
      <c r="V245" s="492">
        <f>P245+Q245+R245+S245+T245+U245</f>
        <v>111498</v>
      </c>
      <c r="W245" s="492">
        <v>0</v>
      </c>
      <c r="X245" s="492">
        <v>0</v>
      </c>
      <c r="Y245" s="492">
        <v>0</v>
      </c>
      <c r="Z245" s="492">
        <f t="shared" si="431"/>
        <v>0</v>
      </c>
      <c r="AA245" s="492">
        <f t="shared" si="432"/>
        <v>111498</v>
      </c>
      <c r="AB245" s="494">
        <f t="shared" si="433"/>
        <v>37686</v>
      </c>
      <c r="AC245" s="494">
        <f t="shared" si="434"/>
        <v>1115</v>
      </c>
      <c r="AD245" s="14">
        <v>0</v>
      </c>
      <c r="AE245" s="753">
        <f t="shared" si="369"/>
        <v>150299</v>
      </c>
      <c r="AF245" s="858">
        <v>0</v>
      </c>
      <c r="AG245" s="491">
        <v>0.09</v>
      </c>
      <c r="AH245" s="491">
        <v>0</v>
      </c>
      <c r="AI245" s="491">
        <v>0</v>
      </c>
      <c r="AJ245" s="491">
        <v>0</v>
      </c>
      <c r="AK245" s="491">
        <v>0</v>
      </c>
      <c r="AL245" s="609">
        <f>SUM(AF245:AK245)</f>
        <v>0.09</v>
      </c>
      <c r="AM245" s="676">
        <f>I245+AE245</f>
        <v>1892845</v>
      </c>
      <c r="AN245" s="492">
        <f>J245+V245</f>
        <v>1404188</v>
      </c>
      <c r="AO245" s="492">
        <f t="shared" si="435"/>
        <v>0</v>
      </c>
      <c r="AP245" s="492">
        <f t="shared" si="436"/>
        <v>474615</v>
      </c>
      <c r="AQ245" s="492">
        <f t="shared" si="436"/>
        <v>14042</v>
      </c>
      <c r="AR245" s="573">
        <f t="shared" si="436"/>
        <v>0</v>
      </c>
      <c r="AS245" s="609">
        <f>O245+AL245</f>
        <v>3.56</v>
      </c>
    </row>
    <row r="246" spans="1:45" ht="14.1" customHeight="1" x14ac:dyDescent="0.2">
      <c r="A246" s="499">
        <v>61</v>
      </c>
      <c r="B246" s="511">
        <v>2444</v>
      </c>
      <c r="C246" s="512">
        <v>600079848</v>
      </c>
      <c r="D246" s="511">
        <v>72742836</v>
      </c>
      <c r="E246" s="510" t="s">
        <v>638</v>
      </c>
      <c r="F246" s="499">
        <v>3143</v>
      </c>
      <c r="G246" s="513" t="s">
        <v>794</v>
      </c>
      <c r="H246" s="495" t="s">
        <v>262</v>
      </c>
      <c r="I246" s="610">
        <v>780090</v>
      </c>
      <c r="J246" s="14">
        <v>578702</v>
      </c>
      <c r="K246" s="14">
        <v>0</v>
      </c>
      <c r="L246" s="14">
        <v>195601</v>
      </c>
      <c r="M246" s="14">
        <v>5787</v>
      </c>
      <c r="N246" s="14">
        <v>0</v>
      </c>
      <c r="O246" s="121">
        <v>1</v>
      </c>
      <c r="P246" s="676">
        <f t="shared" si="368"/>
        <v>0</v>
      </c>
      <c r="Q246" s="492">
        <v>0</v>
      </c>
      <c r="R246" s="492">
        <v>0</v>
      </c>
      <c r="S246" s="492">
        <v>0</v>
      </c>
      <c r="T246" s="492">
        <v>0</v>
      </c>
      <c r="U246" s="492">
        <v>0</v>
      </c>
      <c r="V246" s="492">
        <f>P246+Q246+R246+S246+T246+U246</f>
        <v>0</v>
      </c>
      <c r="W246" s="492">
        <v>0</v>
      </c>
      <c r="X246" s="492">
        <v>0</v>
      </c>
      <c r="Y246" s="492">
        <v>0</v>
      </c>
      <c r="Z246" s="492">
        <f t="shared" si="431"/>
        <v>0</v>
      </c>
      <c r="AA246" s="492">
        <f t="shared" si="432"/>
        <v>0</v>
      </c>
      <c r="AB246" s="494">
        <f t="shared" si="433"/>
        <v>0</v>
      </c>
      <c r="AC246" s="494">
        <f t="shared" si="434"/>
        <v>0</v>
      </c>
      <c r="AD246" s="14">
        <v>0</v>
      </c>
      <c r="AE246" s="753">
        <f t="shared" si="369"/>
        <v>0</v>
      </c>
      <c r="AF246" s="858">
        <v>0</v>
      </c>
      <c r="AG246" s="491">
        <v>0</v>
      </c>
      <c r="AH246" s="491">
        <v>0</v>
      </c>
      <c r="AI246" s="491">
        <v>0</v>
      </c>
      <c r="AJ246" s="491">
        <v>0</v>
      </c>
      <c r="AK246" s="491">
        <v>0</v>
      </c>
      <c r="AL246" s="609">
        <f>SUM(AF246:AK246)</f>
        <v>0</v>
      </c>
      <c r="AM246" s="676">
        <f>I246+AE246</f>
        <v>780090</v>
      </c>
      <c r="AN246" s="492">
        <f>J246+V246</f>
        <v>578702</v>
      </c>
      <c r="AO246" s="492">
        <f t="shared" si="435"/>
        <v>0</v>
      </c>
      <c r="AP246" s="492">
        <f t="shared" si="436"/>
        <v>195601</v>
      </c>
      <c r="AQ246" s="492">
        <f t="shared" si="436"/>
        <v>5787</v>
      </c>
      <c r="AR246" s="573">
        <f t="shared" si="436"/>
        <v>0</v>
      </c>
      <c r="AS246" s="609">
        <f>O246+AL246</f>
        <v>1</v>
      </c>
    </row>
    <row r="247" spans="1:45" ht="14.1" customHeight="1" x14ac:dyDescent="0.2">
      <c r="A247" s="509">
        <v>61</v>
      </c>
      <c r="B247" s="507">
        <v>2444</v>
      </c>
      <c r="C247" s="508">
        <v>600079848</v>
      </c>
      <c r="D247" s="507">
        <v>72742836</v>
      </c>
      <c r="E247" s="505" t="s">
        <v>639</v>
      </c>
      <c r="F247" s="509"/>
      <c r="G247" s="505"/>
      <c r="H247" s="504"/>
      <c r="I247" s="612">
        <v>10863214</v>
      </c>
      <c r="J247" s="503">
        <v>8044173</v>
      </c>
      <c r="K247" s="503">
        <v>14700</v>
      </c>
      <c r="L247" s="503">
        <v>2723899</v>
      </c>
      <c r="M247" s="503">
        <v>80442</v>
      </c>
      <c r="N247" s="503">
        <v>0</v>
      </c>
      <c r="O247" s="837">
        <v>14.450000000000001</v>
      </c>
      <c r="P247" s="612">
        <f t="shared" ref="P247:AS247" si="437">SUM(P243:P246)</f>
        <v>0</v>
      </c>
      <c r="Q247" s="502">
        <f t="shared" si="437"/>
        <v>111498</v>
      </c>
      <c r="R247" s="502">
        <f t="shared" si="437"/>
        <v>0</v>
      </c>
      <c r="S247" s="502">
        <f t="shared" si="437"/>
        <v>0</v>
      </c>
      <c r="T247" s="502">
        <f t="shared" si="437"/>
        <v>0</v>
      </c>
      <c r="U247" s="502">
        <f t="shared" si="437"/>
        <v>0</v>
      </c>
      <c r="V247" s="502">
        <f t="shared" si="437"/>
        <v>111498</v>
      </c>
      <c r="W247" s="502">
        <f t="shared" si="437"/>
        <v>0</v>
      </c>
      <c r="X247" s="502">
        <f t="shared" si="437"/>
        <v>0</v>
      </c>
      <c r="Y247" s="502">
        <f t="shared" si="437"/>
        <v>0</v>
      </c>
      <c r="Z247" s="502">
        <f t="shared" si="437"/>
        <v>0</v>
      </c>
      <c r="AA247" s="502">
        <f t="shared" si="437"/>
        <v>111498</v>
      </c>
      <c r="AB247" s="502">
        <f t="shared" si="437"/>
        <v>37686</v>
      </c>
      <c r="AC247" s="502">
        <f t="shared" si="437"/>
        <v>1115</v>
      </c>
      <c r="AD247" s="502">
        <f t="shared" si="437"/>
        <v>0</v>
      </c>
      <c r="AE247" s="852">
        <f t="shared" si="437"/>
        <v>150299</v>
      </c>
      <c r="AF247" s="857">
        <f t="shared" si="437"/>
        <v>0</v>
      </c>
      <c r="AG247" s="848">
        <f t="shared" si="437"/>
        <v>0.09</v>
      </c>
      <c r="AH247" s="848">
        <f t="shared" si="437"/>
        <v>0</v>
      </c>
      <c r="AI247" s="848">
        <f t="shared" si="437"/>
        <v>0</v>
      </c>
      <c r="AJ247" s="848">
        <f t="shared" si="437"/>
        <v>0</v>
      </c>
      <c r="AK247" s="848">
        <f t="shared" si="437"/>
        <v>0</v>
      </c>
      <c r="AL247" s="613">
        <f t="shared" si="437"/>
        <v>0.09</v>
      </c>
      <c r="AM247" s="612">
        <f t="shared" si="437"/>
        <v>11013513</v>
      </c>
      <c r="AN247" s="502">
        <f t="shared" si="437"/>
        <v>8155671</v>
      </c>
      <c r="AO247" s="549">
        <f t="shared" si="437"/>
        <v>14700</v>
      </c>
      <c r="AP247" s="502">
        <f t="shared" si="437"/>
        <v>2761585</v>
      </c>
      <c r="AQ247" s="502">
        <f t="shared" si="437"/>
        <v>81557</v>
      </c>
      <c r="AR247" s="502">
        <f t="shared" si="437"/>
        <v>0</v>
      </c>
      <c r="AS247" s="613">
        <f t="shared" si="437"/>
        <v>14.540000000000001</v>
      </c>
    </row>
    <row r="248" spans="1:45" ht="14.1" customHeight="1" x14ac:dyDescent="0.2">
      <c r="A248" s="499">
        <v>62</v>
      </c>
      <c r="B248" s="511">
        <v>2457</v>
      </c>
      <c r="C248" s="512">
        <v>650021479</v>
      </c>
      <c r="D248" s="511">
        <v>72742577</v>
      </c>
      <c r="E248" s="510" t="s">
        <v>640</v>
      </c>
      <c r="F248" s="499">
        <v>3111</v>
      </c>
      <c r="G248" s="510" t="s">
        <v>277</v>
      </c>
      <c r="H248" s="495" t="s">
        <v>262</v>
      </c>
      <c r="I248" s="610">
        <v>1502703</v>
      </c>
      <c r="J248" s="14">
        <v>1109802</v>
      </c>
      <c r="K248" s="14">
        <v>5000</v>
      </c>
      <c r="L248" s="14">
        <v>376803</v>
      </c>
      <c r="M248" s="14">
        <v>11098</v>
      </c>
      <c r="N248" s="14">
        <v>0</v>
      </c>
      <c r="O248" s="121">
        <v>2</v>
      </c>
      <c r="P248" s="676">
        <f t="shared" si="368"/>
        <v>0</v>
      </c>
      <c r="Q248" s="492">
        <v>0</v>
      </c>
      <c r="R248" s="492">
        <v>0</v>
      </c>
      <c r="S248" s="492">
        <v>0</v>
      </c>
      <c r="T248" s="492">
        <v>0</v>
      </c>
      <c r="U248" s="492">
        <v>0</v>
      </c>
      <c r="V248" s="492">
        <f>P248+Q248+R248+S248+T248+U248</f>
        <v>0</v>
      </c>
      <c r="W248" s="492">
        <v>0</v>
      </c>
      <c r="X248" s="492">
        <v>0</v>
      </c>
      <c r="Y248" s="492">
        <v>0</v>
      </c>
      <c r="Z248" s="492">
        <f t="shared" ref="Z248:Z251" si="438">W248+X248+Y248</f>
        <v>0</v>
      </c>
      <c r="AA248" s="492">
        <f t="shared" ref="AA248:AA251" si="439">V248+Z248</f>
        <v>0</v>
      </c>
      <c r="AB248" s="494">
        <f t="shared" ref="AB248:AB251" si="440">ROUND((V248+Z248)*33.8%,0)</f>
        <v>0</v>
      </c>
      <c r="AC248" s="494">
        <f t="shared" ref="AC248:AC251" si="441">ROUND(V248*1%,0)</f>
        <v>0</v>
      </c>
      <c r="AD248" s="14">
        <v>0</v>
      </c>
      <c r="AE248" s="753">
        <f t="shared" si="369"/>
        <v>0</v>
      </c>
      <c r="AF248" s="858">
        <v>0</v>
      </c>
      <c r="AG248" s="491">
        <v>0</v>
      </c>
      <c r="AH248" s="491">
        <v>0</v>
      </c>
      <c r="AI248" s="491">
        <v>0</v>
      </c>
      <c r="AJ248" s="491">
        <v>0</v>
      </c>
      <c r="AK248" s="491">
        <v>0</v>
      </c>
      <c r="AL248" s="609">
        <f>SUM(AF248:AK248)</f>
        <v>0</v>
      </c>
      <c r="AM248" s="676">
        <f>I248+AE248</f>
        <v>1502703</v>
      </c>
      <c r="AN248" s="492">
        <f>J248+V248</f>
        <v>1109802</v>
      </c>
      <c r="AO248" s="492">
        <f t="shared" ref="AO248:AO251" si="442">K248+Z248</f>
        <v>5000</v>
      </c>
      <c r="AP248" s="492">
        <f t="shared" ref="AP248:AR251" si="443">L248+AB248</f>
        <v>376803</v>
      </c>
      <c r="AQ248" s="492">
        <f t="shared" si="443"/>
        <v>11098</v>
      </c>
      <c r="AR248" s="573">
        <f t="shared" si="443"/>
        <v>0</v>
      </c>
      <c r="AS248" s="609">
        <f>O248+AL248</f>
        <v>2</v>
      </c>
    </row>
    <row r="249" spans="1:45" ht="14.1" customHeight="1" x14ac:dyDescent="0.2">
      <c r="A249" s="499">
        <v>62</v>
      </c>
      <c r="B249" s="511">
        <v>2457</v>
      </c>
      <c r="C249" s="512">
        <v>650021479</v>
      </c>
      <c r="D249" s="511">
        <v>72742577</v>
      </c>
      <c r="E249" s="510" t="s">
        <v>640</v>
      </c>
      <c r="F249" s="499">
        <v>3117</v>
      </c>
      <c r="G249" s="520" t="s">
        <v>280</v>
      </c>
      <c r="H249" s="495" t="s">
        <v>262</v>
      </c>
      <c r="I249" s="610">
        <v>2076128</v>
      </c>
      <c r="J249" s="14">
        <v>1511369</v>
      </c>
      <c r="K249" s="14">
        <v>29000</v>
      </c>
      <c r="L249" s="14">
        <v>520645</v>
      </c>
      <c r="M249" s="14">
        <v>15114</v>
      </c>
      <c r="N249" s="14">
        <v>0</v>
      </c>
      <c r="O249" s="121">
        <v>2.3704000000000001</v>
      </c>
      <c r="P249" s="676">
        <f t="shared" si="368"/>
        <v>0</v>
      </c>
      <c r="Q249" s="492">
        <v>0</v>
      </c>
      <c r="R249" s="492">
        <v>0</v>
      </c>
      <c r="S249" s="492">
        <v>0</v>
      </c>
      <c r="T249" s="492">
        <v>0</v>
      </c>
      <c r="U249" s="492">
        <v>0</v>
      </c>
      <c r="V249" s="492">
        <f>P249+Q249+R249+S249+T249+U249</f>
        <v>0</v>
      </c>
      <c r="W249" s="492">
        <v>0</v>
      </c>
      <c r="X249" s="492">
        <v>0</v>
      </c>
      <c r="Y249" s="492">
        <v>0</v>
      </c>
      <c r="Z249" s="492">
        <f t="shared" si="438"/>
        <v>0</v>
      </c>
      <c r="AA249" s="492">
        <f t="shared" si="439"/>
        <v>0</v>
      </c>
      <c r="AB249" s="494">
        <f t="shared" si="440"/>
        <v>0</v>
      </c>
      <c r="AC249" s="494">
        <f t="shared" si="441"/>
        <v>0</v>
      </c>
      <c r="AD249" s="14">
        <v>0</v>
      </c>
      <c r="AE249" s="753">
        <f t="shared" si="369"/>
        <v>0</v>
      </c>
      <c r="AF249" s="858">
        <v>0</v>
      </c>
      <c r="AG249" s="491">
        <v>0</v>
      </c>
      <c r="AH249" s="491">
        <v>0</v>
      </c>
      <c r="AI249" s="491">
        <v>0</v>
      </c>
      <c r="AJ249" s="491">
        <v>0</v>
      </c>
      <c r="AK249" s="491">
        <v>0</v>
      </c>
      <c r="AL249" s="609">
        <f>SUM(AF249:AK249)</f>
        <v>0</v>
      </c>
      <c r="AM249" s="676">
        <f>I249+AE249</f>
        <v>2076128</v>
      </c>
      <c r="AN249" s="492">
        <f>J249+V249</f>
        <v>1511369</v>
      </c>
      <c r="AO249" s="492">
        <f t="shared" si="442"/>
        <v>29000</v>
      </c>
      <c r="AP249" s="492">
        <f t="shared" si="443"/>
        <v>520645</v>
      </c>
      <c r="AQ249" s="492">
        <f t="shared" si="443"/>
        <v>15114</v>
      </c>
      <c r="AR249" s="573">
        <f t="shared" si="443"/>
        <v>0</v>
      </c>
      <c r="AS249" s="609">
        <f>O249+AL249</f>
        <v>2.3704000000000001</v>
      </c>
    </row>
    <row r="250" spans="1:45" ht="14.1" customHeight="1" x14ac:dyDescent="0.2">
      <c r="A250" s="499">
        <v>62</v>
      </c>
      <c r="B250" s="511">
        <v>2457</v>
      </c>
      <c r="C250" s="512">
        <v>650021479</v>
      </c>
      <c r="D250" s="511">
        <v>72742577</v>
      </c>
      <c r="E250" s="510" t="s">
        <v>640</v>
      </c>
      <c r="F250" s="499">
        <v>3117</v>
      </c>
      <c r="G250" s="513" t="s">
        <v>278</v>
      </c>
      <c r="H250" s="495" t="s">
        <v>263</v>
      </c>
      <c r="I250" s="610">
        <v>267475</v>
      </c>
      <c r="J250" s="490">
        <v>198424</v>
      </c>
      <c r="K250" s="490">
        <v>0</v>
      </c>
      <c r="L250" s="14">
        <v>67067</v>
      </c>
      <c r="M250" s="14">
        <v>1984</v>
      </c>
      <c r="N250" s="14">
        <v>0</v>
      </c>
      <c r="O250" s="664">
        <v>0.5</v>
      </c>
      <c r="P250" s="676">
        <f t="shared" si="368"/>
        <v>0</v>
      </c>
      <c r="Q250" s="492">
        <v>0</v>
      </c>
      <c r="R250" s="492">
        <v>0</v>
      </c>
      <c r="S250" s="492">
        <v>0</v>
      </c>
      <c r="T250" s="492">
        <v>0</v>
      </c>
      <c r="U250" s="492">
        <v>0</v>
      </c>
      <c r="V250" s="492">
        <f>P250+Q250+R250+S250+T250+U250</f>
        <v>0</v>
      </c>
      <c r="W250" s="492">
        <v>0</v>
      </c>
      <c r="X250" s="492">
        <v>0</v>
      </c>
      <c r="Y250" s="492">
        <v>0</v>
      </c>
      <c r="Z250" s="492">
        <f t="shared" si="438"/>
        <v>0</v>
      </c>
      <c r="AA250" s="492">
        <f t="shared" si="439"/>
        <v>0</v>
      </c>
      <c r="AB250" s="494">
        <f t="shared" si="440"/>
        <v>0</v>
      </c>
      <c r="AC250" s="494">
        <f t="shared" si="441"/>
        <v>0</v>
      </c>
      <c r="AD250" s="14">
        <v>0</v>
      </c>
      <c r="AE250" s="753">
        <f t="shared" si="369"/>
        <v>0</v>
      </c>
      <c r="AF250" s="858">
        <v>0</v>
      </c>
      <c r="AG250" s="491">
        <v>0</v>
      </c>
      <c r="AH250" s="491">
        <v>0</v>
      </c>
      <c r="AI250" s="491">
        <v>0</v>
      </c>
      <c r="AJ250" s="491">
        <v>0</v>
      </c>
      <c r="AK250" s="491">
        <v>0</v>
      </c>
      <c r="AL250" s="609">
        <f>SUM(AF250:AK250)</f>
        <v>0</v>
      </c>
      <c r="AM250" s="676">
        <f>I250+AE250</f>
        <v>267475</v>
      </c>
      <c r="AN250" s="492">
        <f>J250+V250</f>
        <v>198424</v>
      </c>
      <c r="AO250" s="492">
        <f t="shared" si="442"/>
        <v>0</v>
      </c>
      <c r="AP250" s="492">
        <f t="shared" si="443"/>
        <v>67067</v>
      </c>
      <c r="AQ250" s="492">
        <f t="shared" si="443"/>
        <v>1984</v>
      </c>
      <c r="AR250" s="573">
        <f t="shared" si="443"/>
        <v>0</v>
      </c>
      <c r="AS250" s="609">
        <f>O250+AL250</f>
        <v>0.5</v>
      </c>
    </row>
    <row r="251" spans="1:45" ht="14.1" customHeight="1" x14ac:dyDescent="0.2">
      <c r="A251" s="499">
        <v>62</v>
      </c>
      <c r="B251" s="511">
        <v>2457</v>
      </c>
      <c r="C251" s="512">
        <v>650021479</v>
      </c>
      <c r="D251" s="511">
        <v>72742577</v>
      </c>
      <c r="E251" s="510" t="s">
        <v>640</v>
      </c>
      <c r="F251" s="499">
        <v>3143</v>
      </c>
      <c r="G251" s="513" t="s">
        <v>794</v>
      </c>
      <c r="H251" s="495" t="s">
        <v>262</v>
      </c>
      <c r="I251" s="610">
        <v>657897</v>
      </c>
      <c r="J251" s="14">
        <v>484084</v>
      </c>
      <c r="K251" s="14">
        <v>4000</v>
      </c>
      <c r="L251" s="14">
        <v>164972</v>
      </c>
      <c r="M251" s="14">
        <v>4841</v>
      </c>
      <c r="N251" s="14">
        <v>0</v>
      </c>
      <c r="O251" s="121">
        <v>1</v>
      </c>
      <c r="P251" s="676">
        <f t="shared" si="368"/>
        <v>0</v>
      </c>
      <c r="Q251" s="492">
        <v>0</v>
      </c>
      <c r="R251" s="492">
        <v>0</v>
      </c>
      <c r="S251" s="492">
        <v>0</v>
      </c>
      <c r="T251" s="492">
        <v>0</v>
      </c>
      <c r="U251" s="492">
        <v>0</v>
      </c>
      <c r="V251" s="492">
        <f>P251+Q251+R251+S251+T251+U251</f>
        <v>0</v>
      </c>
      <c r="W251" s="492">
        <v>0</v>
      </c>
      <c r="X251" s="492">
        <v>0</v>
      </c>
      <c r="Y251" s="492">
        <v>0</v>
      </c>
      <c r="Z251" s="492">
        <f t="shared" si="438"/>
        <v>0</v>
      </c>
      <c r="AA251" s="492">
        <f t="shared" si="439"/>
        <v>0</v>
      </c>
      <c r="AB251" s="494">
        <f t="shared" si="440"/>
        <v>0</v>
      </c>
      <c r="AC251" s="494">
        <f t="shared" si="441"/>
        <v>0</v>
      </c>
      <c r="AD251" s="14">
        <v>0</v>
      </c>
      <c r="AE251" s="753">
        <f t="shared" si="369"/>
        <v>0</v>
      </c>
      <c r="AF251" s="858">
        <v>0</v>
      </c>
      <c r="AG251" s="491">
        <v>0</v>
      </c>
      <c r="AH251" s="491">
        <v>0</v>
      </c>
      <c r="AI251" s="491">
        <v>0</v>
      </c>
      <c r="AJ251" s="491">
        <v>0</v>
      </c>
      <c r="AK251" s="491">
        <v>0</v>
      </c>
      <c r="AL251" s="609">
        <f>SUM(AF251:AK251)</f>
        <v>0</v>
      </c>
      <c r="AM251" s="676">
        <f>I251+AE251</f>
        <v>657897</v>
      </c>
      <c r="AN251" s="492">
        <f>J251+V251</f>
        <v>484084</v>
      </c>
      <c r="AO251" s="492">
        <f t="shared" si="442"/>
        <v>4000</v>
      </c>
      <c r="AP251" s="492">
        <f t="shared" si="443"/>
        <v>164972</v>
      </c>
      <c r="AQ251" s="492">
        <f t="shared" si="443"/>
        <v>4841</v>
      </c>
      <c r="AR251" s="573">
        <f t="shared" si="443"/>
        <v>0</v>
      </c>
      <c r="AS251" s="609">
        <f>O251+AL251</f>
        <v>1</v>
      </c>
    </row>
    <row r="252" spans="1:45" ht="14.1" customHeight="1" x14ac:dyDescent="0.2">
      <c r="A252" s="509">
        <v>62</v>
      </c>
      <c r="B252" s="507">
        <v>2457</v>
      </c>
      <c r="C252" s="508">
        <v>650021479</v>
      </c>
      <c r="D252" s="507">
        <v>72742577</v>
      </c>
      <c r="E252" s="505" t="s">
        <v>641</v>
      </c>
      <c r="F252" s="509"/>
      <c r="G252" s="505"/>
      <c r="H252" s="504"/>
      <c r="I252" s="612">
        <v>4504203</v>
      </c>
      <c r="J252" s="503">
        <v>3303679</v>
      </c>
      <c r="K252" s="503">
        <v>38000</v>
      </c>
      <c r="L252" s="503">
        <v>1129487</v>
      </c>
      <c r="M252" s="503">
        <v>33037</v>
      </c>
      <c r="N252" s="503">
        <v>0</v>
      </c>
      <c r="O252" s="837">
        <v>5.8704000000000001</v>
      </c>
      <c r="P252" s="612">
        <f t="shared" ref="P252:AS252" si="444">SUM(P248:P251)</f>
        <v>0</v>
      </c>
      <c r="Q252" s="502">
        <f t="shared" si="444"/>
        <v>0</v>
      </c>
      <c r="R252" s="502">
        <f t="shared" si="444"/>
        <v>0</v>
      </c>
      <c r="S252" s="502">
        <f t="shared" si="444"/>
        <v>0</v>
      </c>
      <c r="T252" s="502">
        <f t="shared" si="444"/>
        <v>0</v>
      </c>
      <c r="U252" s="502">
        <f t="shared" si="444"/>
        <v>0</v>
      </c>
      <c r="V252" s="502">
        <f t="shared" si="444"/>
        <v>0</v>
      </c>
      <c r="W252" s="502">
        <f t="shared" si="444"/>
        <v>0</v>
      </c>
      <c r="X252" s="502">
        <f t="shared" si="444"/>
        <v>0</v>
      </c>
      <c r="Y252" s="502">
        <f t="shared" si="444"/>
        <v>0</v>
      </c>
      <c r="Z252" s="502">
        <f t="shared" si="444"/>
        <v>0</v>
      </c>
      <c r="AA252" s="502">
        <f t="shared" si="444"/>
        <v>0</v>
      </c>
      <c r="AB252" s="502">
        <f t="shared" si="444"/>
        <v>0</v>
      </c>
      <c r="AC252" s="502">
        <f t="shared" si="444"/>
        <v>0</v>
      </c>
      <c r="AD252" s="502">
        <f t="shared" si="444"/>
        <v>0</v>
      </c>
      <c r="AE252" s="852">
        <f t="shared" si="444"/>
        <v>0</v>
      </c>
      <c r="AF252" s="857">
        <f t="shared" si="444"/>
        <v>0</v>
      </c>
      <c r="AG252" s="848">
        <f t="shared" si="444"/>
        <v>0</v>
      </c>
      <c r="AH252" s="848">
        <f t="shared" si="444"/>
        <v>0</v>
      </c>
      <c r="AI252" s="848">
        <f t="shared" si="444"/>
        <v>0</v>
      </c>
      <c r="AJ252" s="848">
        <f t="shared" si="444"/>
        <v>0</v>
      </c>
      <c r="AK252" s="848">
        <f t="shared" si="444"/>
        <v>0</v>
      </c>
      <c r="AL252" s="613">
        <f t="shared" si="444"/>
        <v>0</v>
      </c>
      <c r="AM252" s="612">
        <f t="shared" si="444"/>
        <v>4504203</v>
      </c>
      <c r="AN252" s="502">
        <f t="shared" si="444"/>
        <v>3303679</v>
      </c>
      <c r="AO252" s="549">
        <f t="shared" si="444"/>
        <v>38000</v>
      </c>
      <c r="AP252" s="502">
        <f t="shared" si="444"/>
        <v>1129487</v>
      </c>
      <c r="AQ252" s="502">
        <f t="shared" si="444"/>
        <v>33037</v>
      </c>
      <c r="AR252" s="502">
        <f t="shared" si="444"/>
        <v>0</v>
      </c>
      <c r="AS252" s="613">
        <f t="shared" si="444"/>
        <v>5.8704000000000001</v>
      </c>
    </row>
    <row r="253" spans="1:45" ht="14.1" customHeight="1" x14ac:dyDescent="0.2">
      <c r="A253" s="499">
        <v>63</v>
      </c>
      <c r="B253" s="511">
        <v>2403</v>
      </c>
      <c r="C253" s="512">
        <v>600078931</v>
      </c>
      <c r="D253" s="511">
        <v>72744324</v>
      </c>
      <c r="E253" s="510" t="s">
        <v>642</v>
      </c>
      <c r="F253" s="499">
        <v>3111</v>
      </c>
      <c r="G253" s="510" t="s">
        <v>277</v>
      </c>
      <c r="H253" s="495" t="s">
        <v>262</v>
      </c>
      <c r="I253" s="610">
        <v>6170404</v>
      </c>
      <c r="J253" s="14">
        <v>4577451</v>
      </c>
      <c r="K253" s="14">
        <v>0</v>
      </c>
      <c r="L253" s="14">
        <v>1547178</v>
      </c>
      <c r="M253" s="14">
        <v>45775</v>
      </c>
      <c r="N253" s="14">
        <v>0</v>
      </c>
      <c r="O253" s="121">
        <v>8</v>
      </c>
      <c r="P253" s="676">
        <f t="shared" si="368"/>
        <v>0</v>
      </c>
      <c r="Q253" s="492">
        <v>0</v>
      </c>
      <c r="R253" s="492">
        <v>0</v>
      </c>
      <c r="S253" s="492">
        <v>0</v>
      </c>
      <c r="T253" s="492">
        <v>0</v>
      </c>
      <c r="U253" s="492">
        <v>0</v>
      </c>
      <c r="V253" s="492">
        <f>P253+Q253+R253+S253+T253+U253</f>
        <v>0</v>
      </c>
      <c r="W253" s="492">
        <v>0</v>
      </c>
      <c r="X253" s="492">
        <v>0</v>
      </c>
      <c r="Y253" s="492">
        <v>0</v>
      </c>
      <c r="Z253" s="492">
        <f t="shared" ref="Z253:Z254" si="445">W253+X253+Y253</f>
        <v>0</v>
      </c>
      <c r="AA253" s="492">
        <f t="shared" ref="AA253:AA254" si="446">V253+Z253</f>
        <v>0</v>
      </c>
      <c r="AB253" s="494">
        <f t="shared" ref="AB253:AB254" si="447">ROUND((V253+Z253)*33.8%,0)</f>
        <v>0</v>
      </c>
      <c r="AC253" s="494">
        <f>ROUND(V253*1%,0)</f>
        <v>0</v>
      </c>
      <c r="AD253" s="14">
        <v>0</v>
      </c>
      <c r="AE253" s="753">
        <f t="shared" si="369"/>
        <v>0</v>
      </c>
      <c r="AF253" s="858">
        <v>0</v>
      </c>
      <c r="AG253" s="491">
        <v>0</v>
      </c>
      <c r="AH253" s="491">
        <v>0</v>
      </c>
      <c r="AI253" s="491">
        <v>0</v>
      </c>
      <c r="AJ253" s="491">
        <v>0</v>
      </c>
      <c r="AK253" s="491">
        <v>0</v>
      </c>
      <c r="AL253" s="609">
        <f>SUM(AF253:AK253)</f>
        <v>0</v>
      </c>
      <c r="AM253" s="676">
        <f>I253+AE253</f>
        <v>6170404</v>
      </c>
      <c r="AN253" s="492">
        <f>J253+V253</f>
        <v>4577451</v>
      </c>
      <c r="AO253" s="492">
        <f t="shared" ref="AO253:AO254" si="448">K253+Z253</f>
        <v>0</v>
      </c>
      <c r="AP253" s="492">
        <f t="shared" ref="AP253:AR254" si="449">L253+AB253</f>
        <v>1547178</v>
      </c>
      <c r="AQ253" s="492">
        <f t="shared" si="449"/>
        <v>45775</v>
      </c>
      <c r="AR253" s="573">
        <f t="shared" si="449"/>
        <v>0</v>
      </c>
      <c r="AS253" s="609">
        <f>O253+AL253</f>
        <v>8</v>
      </c>
    </row>
    <row r="254" spans="1:45" ht="14.1" customHeight="1" x14ac:dyDescent="0.2">
      <c r="A254" s="499">
        <v>63</v>
      </c>
      <c r="B254" s="511">
        <v>2403</v>
      </c>
      <c r="C254" s="512">
        <v>600078931</v>
      </c>
      <c r="D254" s="511">
        <v>72744324</v>
      </c>
      <c r="E254" s="510" t="s">
        <v>642</v>
      </c>
      <c r="F254" s="499">
        <v>3111</v>
      </c>
      <c r="G254" s="513" t="s">
        <v>278</v>
      </c>
      <c r="H254" s="495" t="s">
        <v>263</v>
      </c>
      <c r="I254" s="610">
        <v>1870023</v>
      </c>
      <c r="J254" s="490">
        <v>1387257</v>
      </c>
      <c r="K254" s="490">
        <v>0</v>
      </c>
      <c r="L254" s="14">
        <v>468893</v>
      </c>
      <c r="M254" s="14">
        <v>13873</v>
      </c>
      <c r="N254" s="14">
        <v>0</v>
      </c>
      <c r="O254" s="664">
        <v>3.75</v>
      </c>
      <c r="P254" s="676">
        <f t="shared" si="368"/>
        <v>0</v>
      </c>
      <c r="Q254" s="492">
        <v>0</v>
      </c>
      <c r="R254" s="492">
        <v>0</v>
      </c>
      <c r="S254" s="492">
        <v>0</v>
      </c>
      <c r="T254" s="492">
        <v>0</v>
      </c>
      <c r="U254" s="492">
        <v>0</v>
      </c>
      <c r="V254" s="492">
        <f>P254+Q254+R254+S254+T254+U254</f>
        <v>0</v>
      </c>
      <c r="W254" s="492">
        <v>0</v>
      </c>
      <c r="X254" s="492">
        <v>0</v>
      </c>
      <c r="Y254" s="492">
        <v>0</v>
      </c>
      <c r="Z254" s="492">
        <f t="shared" si="445"/>
        <v>0</v>
      </c>
      <c r="AA254" s="492">
        <f t="shared" si="446"/>
        <v>0</v>
      </c>
      <c r="AB254" s="494">
        <f t="shared" si="447"/>
        <v>0</v>
      </c>
      <c r="AC254" s="494">
        <f>ROUND(V254*1%,0)</f>
        <v>0</v>
      </c>
      <c r="AD254" s="14">
        <v>0</v>
      </c>
      <c r="AE254" s="753">
        <f t="shared" si="369"/>
        <v>0</v>
      </c>
      <c r="AF254" s="858">
        <v>0</v>
      </c>
      <c r="AG254" s="491">
        <v>0</v>
      </c>
      <c r="AH254" s="491">
        <v>0</v>
      </c>
      <c r="AI254" s="491">
        <v>0</v>
      </c>
      <c r="AJ254" s="491">
        <v>0</v>
      </c>
      <c r="AK254" s="491">
        <v>0</v>
      </c>
      <c r="AL254" s="609">
        <f>SUM(AF254:AK254)</f>
        <v>0</v>
      </c>
      <c r="AM254" s="676">
        <f>I254+AE254</f>
        <v>1870023</v>
      </c>
      <c r="AN254" s="492">
        <f>J254+V254</f>
        <v>1387257</v>
      </c>
      <c r="AO254" s="492">
        <f t="shared" si="448"/>
        <v>0</v>
      </c>
      <c r="AP254" s="492">
        <f t="shared" si="449"/>
        <v>468893</v>
      </c>
      <c r="AQ254" s="492">
        <f t="shared" si="449"/>
        <v>13873</v>
      </c>
      <c r="AR254" s="573">
        <f t="shared" si="449"/>
        <v>0</v>
      </c>
      <c r="AS254" s="609">
        <f>O254+AL254</f>
        <v>3.75</v>
      </c>
    </row>
    <row r="255" spans="1:45" ht="14.1" customHeight="1" x14ac:dyDescent="0.2">
      <c r="A255" s="509">
        <v>63</v>
      </c>
      <c r="B255" s="507">
        <v>2403</v>
      </c>
      <c r="C255" s="508">
        <v>600078931</v>
      </c>
      <c r="D255" s="507">
        <v>72744324</v>
      </c>
      <c r="E255" s="505" t="s">
        <v>643</v>
      </c>
      <c r="F255" s="509"/>
      <c r="G255" s="505"/>
      <c r="H255" s="504"/>
      <c r="I255" s="612">
        <v>8040427</v>
      </c>
      <c r="J255" s="503">
        <v>5964708</v>
      </c>
      <c r="K255" s="503">
        <v>0</v>
      </c>
      <c r="L255" s="503">
        <v>2016071</v>
      </c>
      <c r="M255" s="503">
        <v>59648</v>
      </c>
      <c r="N255" s="503">
        <v>0</v>
      </c>
      <c r="O255" s="837">
        <v>11.75</v>
      </c>
      <c r="P255" s="612">
        <f t="shared" ref="P255:AS255" si="450">SUM(P253:P254)</f>
        <v>0</v>
      </c>
      <c r="Q255" s="502">
        <f t="shared" si="450"/>
        <v>0</v>
      </c>
      <c r="R255" s="502">
        <f t="shared" si="450"/>
        <v>0</v>
      </c>
      <c r="S255" s="502">
        <f t="shared" si="450"/>
        <v>0</v>
      </c>
      <c r="T255" s="502">
        <f t="shared" si="450"/>
        <v>0</v>
      </c>
      <c r="U255" s="502">
        <f t="shared" si="450"/>
        <v>0</v>
      </c>
      <c r="V255" s="502">
        <f t="shared" si="450"/>
        <v>0</v>
      </c>
      <c r="W255" s="502">
        <f t="shared" si="450"/>
        <v>0</v>
      </c>
      <c r="X255" s="502">
        <f t="shared" si="450"/>
        <v>0</v>
      </c>
      <c r="Y255" s="502">
        <f t="shared" si="450"/>
        <v>0</v>
      </c>
      <c r="Z255" s="502">
        <f t="shared" si="450"/>
        <v>0</v>
      </c>
      <c r="AA255" s="502">
        <f t="shared" si="450"/>
        <v>0</v>
      </c>
      <c r="AB255" s="502">
        <f t="shared" si="450"/>
        <v>0</v>
      </c>
      <c r="AC255" s="502">
        <f t="shared" si="450"/>
        <v>0</v>
      </c>
      <c r="AD255" s="502">
        <f t="shared" si="450"/>
        <v>0</v>
      </c>
      <c r="AE255" s="852">
        <f t="shared" si="450"/>
        <v>0</v>
      </c>
      <c r="AF255" s="857">
        <f t="shared" si="450"/>
        <v>0</v>
      </c>
      <c r="AG255" s="848">
        <f t="shared" si="450"/>
        <v>0</v>
      </c>
      <c r="AH255" s="848">
        <f t="shared" si="450"/>
        <v>0</v>
      </c>
      <c r="AI255" s="848">
        <f t="shared" si="450"/>
        <v>0</v>
      </c>
      <c r="AJ255" s="848">
        <f t="shared" si="450"/>
        <v>0</v>
      </c>
      <c r="AK255" s="848">
        <f t="shared" si="450"/>
        <v>0</v>
      </c>
      <c r="AL255" s="613">
        <f t="shared" si="450"/>
        <v>0</v>
      </c>
      <c r="AM255" s="612">
        <f t="shared" si="450"/>
        <v>8040427</v>
      </c>
      <c r="AN255" s="502">
        <f t="shared" si="450"/>
        <v>5964708</v>
      </c>
      <c r="AO255" s="549">
        <f t="shared" si="450"/>
        <v>0</v>
      </c>
      <c r="AP255" s="502">
        <f t="shared" si="450"/>
        <v>2016071</v>
      </c>
      <c r="AQ255" s="502">
        <f t="shared" si="450"/>
        <v>59648</v>
      </c>
      <c r="AR255" s="502">
        <f t="shared" si="450"/>
        <v>0</v>
      </c>
      <c r="AS255" s="613">
        <f t="shared" si="450"/>
        <v>11.75</v>
      </c>
    </row>
    <row r="256" spans="1:45" ht="14.1" customHeight="1" x14ac:dyDescent="0.2">
      <c r="A256" s="499">
        <v>64</v>
      </c>
      <c r="B256" s="511">
        <v>2458</v>
      </c>
      <c r="C256" s="512">
        <v>600079741</v>
      </c>
      <c r="D256" s="511">
        <v>72744243</v>
      </c>
      <c r="E256" s="510" t="s">
        <v>644</v>
      </c>
      <c r="F256" s="499">
        <v>3113</v>
      </c>
      <c r="G256" s="510" t="s">
        <v>280</v>
      </c>
      <c r="H256" s="495" t="s">
        <v>262</v>
      </c>
      <c r="I256" s="610">
        <v>22790588</v>
      </c>
      <c r="J256" s="14">
        <v>16892076</v>
      </c>
      <c r="K256" s="14">
        <v>15000</v>
      </c>
      <c r="L256" s="14">
        <v>5714591</v>
      </c>
      <c r="M256" s="14">
        <v>168921</v>
      </c>
      <c r="N256" s="14">
        <v>0</v>
      </c>
      <c r="O256" s="121">
        <v>24.392299999999999</v>
      </c>
      <c r="P256" s="676">
        <f t="shared" si="368"/>
        <v>0</v>
      </c>
      <c r="Q256" s="492">
        <v>0</v>
      </c>
      <c r="R256" s="492">
        <v>0</v>
      </c>
      <c r="S256" s="492">
        <v>0</v>
      </c>
      <c r="T256" s="492">
        <v>0</v>
      </c>
      <c r="U256" s="492">
        <v>0</v>
      </c>
      <c r="V256" s="492">
        <f>P256+Q256+R256+S256+T256+U256</f>
        <v>0</v>
      </c>
      <c r="W256" s="492">
        <v>0</v>
      </c>
      <c r="X256" s="492">
        <v>0</v>
      </c>
      <c r="Y256" s="492">
        <v>0</v>
      </c>
      <c r="Z256" s="492">
        <f t="shared" ref="Z256:Z258" si="451">W256+X256+Y256</f>
        <v>0</v>
      </c>
      <c r="AA256" s="492">
        <f t="shared" ref="AA256:AA258" si="452">V256+Z256</f>
        <v>0</v>
      </c>
      <c r="AB256" s="494">
        <f t="shared" ref="AB256:AB258" si="453">ROUND((V256+Z256)*33.8%,0)</f>
        <v>0</v>
      </c>
      <c r="AC256" s="494">
        <f>ROUND(V256*1%,0)</f>
        <v>0</v>
      </c>
      <c r="AD256" s="14">
        <v>0</v>
      </c>
      <c r="AE256" s="753">
        <f t="shared" si="369"/>
        <v>0</v>
      </c>
      <c r="AF256" s="858">
        <v>0</v>
      </c>
      <c r="AG256" s="491">
        <v>0</v>
      </c>
      <c r="AH256" s="491">
        <v>0</v>
      </c>
      <c r="AI256" s="491">
        <v>0</v>
      </c>
      <c r="AJ256" s="491">
        <v>0</v>
      </c>
      <c r="AK256" s="491">
        <v>0</v>
      </c>
      <c r="AL256" s="609">
        <f>SUM(AF256:AK256)</f>
        <v>0</v>
      </c>
      <c r="AM256" s="676">
        <f>I256+AE256</f>
        <v>22790588</v>
      </c>
      <c r="AN256" s="492">
        <f>J256+V256</f>
        <v>16892076</v>
      </c>
      <c r="AO256" s="492">
        <f t="shared" ref="AO256:AO258" si="454">K256+Z256</f>
        <v>15000</v>
      </c>
      <c r="AP256" s="492">
        <f t="shared" ref="AP256:AR258" si="455">L256+AB256</f>
        <v>5714591</v>
      </c>
      <c r="AQ256" s="492">
        <f t="shared" si="455"/>
        <v>168921</v>
      </c>
      <c r="AR256" s="573">
        <f t="shared" si="455"/>
        <v>0</v>
      </c>
      <c r="AS256" s="609">
        <f>O256+AL256</f>
        <v>24.392299999999999</v>
      </c>
    </row>
    <row r="257" spans="1:45" ht="14.1" customHeight="1" x14ac:dyDescent="0.2">
      <c r="A257" s="499">
        <v>64</v>
      </c>
      <c r="B257" s="511">
        <v>2458</v>
      </c>
      <c r="C257" s="512">
        <v>600079741</v>
      </c>
      <c r="D257" s="511">
        <v>72744243</v>
      </c>
      <c r="E257" s="510" t="s">
        <v>644</v>
      </c>
      <c r="F257" s="499">
        <v>3113</v>
      </c>
      <c r="G257" s="513" t="s">
        <v>278</v>
      </c>
      <c r="H257" s="495" t="s">
        <v>263</v>
      </c>
      <c r="I257" s="610">
        <v>2572179</v>
      </c>
      <c r="J257" s="490">
        <v>1908145</v>
      </c>
      <c r="K257" s="490">
        <v>0</v>
      </c>
      <c r="L257" s="14">
        <v>644953</v>
      </c>
      <c r="M257" s="14">
        <v>19081</v>
      </c>
      <c r="N257" s="14">
        <v>0</v>
      </c>
      <c r="O257" s="664">
        <v>4.91</v>
      </c>
      <c r="P257" s="676">
        <f t="shared" si="368"/>
        <v>0</v>
      </c>
      <c r="Q257" s="492">
        <v>0</v>
      </c>
      <c r="R257" s="492">
        <v>0</v>
      </c>
      <c r="S257" s="492">
        <v>0</v>
      </c>
      <c r="T257" s="492">
        <v>0</v>
      </c>
      <c r="U257" s="492">
        <v>0</v>
      </c>
      <c r="V257" s="492">
        <f>P257+Q257+R257+S257+T257+U257</f>
        <v>0</v>
      </c>
      <c r="W257" s="492">
        <v>0</v>
      </c>
      <c r="X257" s="492">
        <v>0</v>
      </c>
      <c r="Y257" s="492">
        <v>0</v>
      </c>
      <c r="Z257" s="492">
        <f t="shared" si="451"/>
        <v>0</v>
      </c>
      <c r="AA257" s="492">
        <f t="shared" si="452"/>
        <v>0</v>
      </c>
      <c r="AB257" s="494">
        <f t="shared" si="453"/>
        <v>0</v>
      </c>
      <c r="AC257" s="494">
        <f>ROUND(V257*1%,0)</f>
        <v>0</v>
      </c>
      <c r="AD257" s="14">
        <v>0</v>
      </c>
      <c r="AE257" s="753">
        <f t="shared" si="369"/>
        <v>0</v>
      </c>
      <c r="AF257" s="858">
        <v>0</v>
      </c>
      <c r="AG257" s="491">
        <v>0</v>
      </c>
      <c r="AH257" s="491">
        <v>0</v>
      </c>
      <c r="AI257" s="491">
        <v>0</v>
      </c>
      <c r="AJ257" s="491">
        <v>0</v>
      </c>
      <c r="AK257" s="491">
        <v>0</v>
      </c>
      <c r="AL257" s="609">
        <f>SUM(AF257:AK257)</f>
        <v>0</v>
      </c>
      <c r="AM257" s="676">
        <f>I257+AE257</f>
        <v>2572179</v>
      </c>
      <c r="AN257" s="492">
        <f>J257+V257</f>
        <v>1908145</v>
      </c>
      <c r="AO257" s="492">
        <f t="shared" si="454"/>
        <v>0</v>
      </c>
      <c r="AP257" s="492">
        <f t="shared" si="455"/>
        <v>644953</v>
      </c>
      <c r="AQ257" s="492">
        <f t="shared" si="455"/>
        <v>19081</v>
      </c>
      <c r="AR257" s="573">
        <f t="shared" si="455"/>
        <v>0</v>
      </c>
      <c r="AS257" s="609">
        <f>O257+AL257</f>
        <v>4.91</v>
      </c>
    </row>
    <row r="258" spans="1:45" ht="14.1" customHeight="1" x14ac:dyDescent="0.2">
      <c r="A258" s="499">
        <v>64</v>
      </c>
      <c r="B258" s="511">
        <v>2458</v>
      </c>
      <c r="C258" s="512">
        <v>600079741</v>
      </c>
      <c r="D258" s="511">
        <v>72744243</v>
      </c>
      <c r="E258" s="510" t="s">
        <v>644</v>
      </c>
      <c r="F258" s="499">
        <v>3143</v>
      </c>
      <c r="G258" s="513" t="s">
        <v>794</v>
      </c>
      <c r="H258" s="495" t="s">
        <v>262</v>
      </c>
      <c r="I258" s="610">
        <v>3072948</v>
      </c>
      <c r="J258" s="14">
        <v>2279635</v>
      </c>
      <c r="K258" s="14">
        <v>0</v>
      </c>
      <c r="L258" s="14">
        <v>770517</v>
      </c>
      <c r="M258" s="14">
        <v>22796</v>
      </c>
      <c r="N258" s="14">
        <v>0</v>
      </c>
      <c r="O258" s="121">
        <v>4.4218000000000002</v>
      </c>
      <c r="P258" s="676">
        <f t="shared" si="368"/>
        <v>0</v>
      </c>
      <c r="Q258" s="492">
        <v>0</v>
      </c>
      <c r="R258" s="492">
        <v>0</v>
      </c>
      <c r="S258" s="492">
        <v>0</v>
      </c>
      <c r="T258" s="492">
        <v>0</v>
      </c>
      <c r="U258" s="492">
        <v>0</v>
      </c>
      <c r="V258" s="492">
        <f>P258+Q258+R258+S258+T258+U258</f>
        <v>0</v>
      </c>
      <c r="W258" s="492">
        <v>0</v>
      </c>
      <c r="X258" s="492">
        <v>0</v>
      </c>
      <c r="Y258" s="492">
        <v>0</v>
      </c>
      <c r="Z258" s="492">
        <f t="shared" si="451"/>
        <v>0</v>
      </c>
      <c r="AA258" s="492">
        <f t="shared" si="452"/>
        <v>0</v>
      </c>
      <c r="AB258" s="494">
        <f t="shared" si="453"/>
        <v>0</v>
      </c>
      <c r="AC258" s="494">
        <f>ROUND(V258*1%,0)</f>
        <v>0</v>
      </c>
      <c r="AD258" s="14">
        <v>0</v>
      </c>
      <c r="AE258" s="753">
        <f t="shared" si="369"/>
        <v>0</v>
      </c>
      <c r="AF258" s="858">
        <v>0</v>
      </c>
      <c r="AG258" s="491">
        <v>0</v>
      </c>
      <c r="AH258" s="491">
        <v>0</v>
      </c>
      <c r="AI258" s="491">
        <v>0</v>
      </c>
      <c r="AJ258" s="491">
        <v>0</v>
      </c>
      <c r="AK258" s="491">
        <v>0</v>
      </c>
      <c r="AL258" s="609">
        <f>SUM(AF258:AK258)</f>
        <v>0</v>
      </c>
      <c r="AM258" s="676">
        <f>I258+AE258</f>
        <v>3072948</v>
      </c>
      <c r="AN258" s="492">
        <f>J258+V258</f>
        <v>2279635</v>
      </c>
      <c r="AO258" s="492">
        <f t="shared" si="454"/>
        <v>0</v>
      </c>
      <c r="AP258" s="492">
        <f t="shared" si="455"/>
        <v>770517</v>
      </c>
      <c r="AQ258" s="492">
        <f t="shared" si="455"/>
        <v>22796</v>
      </c>
      <c r="AR258" s="573">
        <f t="shared" si="455"/>
        <v>0</v>
      </c>
      <c r="AS258" s="609">
        <f>O258+AL258</f>
        <v>4.4218000000000002</v>
      </c>
    </row>
    <row r="259" spans="1:45" ht="14.1" customHeight="1" x14ac:dyDescent="0.2">
      <c r="A259" s="509">
        <v>64</v>
      </c>
      <c r="B259" s="507">
        <v>2458</v>
      </c>
      <c r="C259" s="508">
        <v>600079741</v>
      </c>
      <c r="D259" s="507">
        <v>72744243</v>
      </c>
      <c r="E259" s="505" t="s">
        <v>645</v>
      </c>
      <c r="F259" s="509"/>
      <c r="G259" s="505"/>
      <c r="H259" s="504"/>
      <c r="I259" s="612">
        <v>28435715</v>
      </c>
      <c r="J259" s="503">
        <v>21079856</v>
      </c>
      <c r="K259" s="503">
        <v>15000</v>
      </c>
      <c r="L259" s="503">
        <v>7130061</v>
      </c>
      <c r="M259" s="503">
        <v>210798</v>
      </c>
      <c r="N259" s="503">
        <v>0</v>
      </c>
      <c r="O259" s="837">
        <v>33.7241</v>
      </c>
      <c r="P259" s="612">
        <f t="shared" ref="P259:AS259" si="456">SUM(P256:P258)</f>
        <v>0</v>
      </c>
      <c r="Q259" s="502">
        <f t="shared" si="456"/>
        <v>0</v>
      </c>
      <c r="R259" s="502">
        <f t="shared" si="456"/>
        <v>0</v>
      </c>
      <c r="S259" s="502">
        <f t="shared" si="456"/>
        <v>0</v>
      </c>
      <c r="T259" s="502">
        <f t="shared" si="456"/>
        <v>0</v>
      </c>
      <c r="U259" s="502">
        <f t="shared" si="456"/>
        <v>0</v>
      </c>
      <c r="V259" s="502">
        <f t="shared" si="456"/>
        <v>0</v>
      </c>
      <c r="W259" s="502">
        <f t="shared" si="456"/>
        <v>0</v>
      </c>
      <c r="X259" s="502">
        <f t="shared" si="456"/>
        <v>0</v>
      </c>
      <c r="Y259" s="502">
        <f t="shared" si="456"/>
        <v>0</v>
      </c>
      <c r="Z259" s="502">
        <f t="shared" si="456"/>
        <v>0</v>
      </c>
      <c r="AA259" s="502">
        <f t="shared" si="456"/>
        <v>0</v>
      </c>
      <c r="AB259" s="502">
        <f t="shared" si="456"/>
        <v>0</v>
      </c>
      <c r="AC259" s="502">
        <f t="shared" si="456"/>
        <v>0</v>
      </c>
      <c r="AD259" s="502">
        <f t="shared" si="456"/>
        <v>0</v>
      </c>
      <c r="AE259" s="852">
        <f t="shared" si="456"/>
        <v>0</v>
      </c>
      <c r="AF259" s="857">
        <f t="shared" si="456"/>
        <v>0</v>
      </c>
      <c r="AG259" s="848">
        <f t="shared" si="456"/>
        <v>0</v>
      </c>
      <c r="AH259" s="848">
        <f t="shared" si="456"/>
        <v>0</v>
      </c>
      <c r="AI259" s="848">
        <f t="shared" si="456"/>
        <v>0</v>
      </c>
      <c r="AJ259" s="848">
        <f t="shared" si="456"/>
        <v>0</v>
      </c>
      <c r="AK259" s="848">
        <f t="shared" si="456"/>
        <v>0</v>
      </c>
      <c r="AL259" s="613">
        <f t="shared" si="456"/>
        <v>0</v>
      </c>
      <c r="AM259" s="612">
        <f t="shared" si="456"/>
        <v>28435715</v>
      </c>
      <c r="AN259" s="502">
        <f t="shared" si="456"/>
        <v>21079856</v>
      </c>
      <c r="AO259" s="549">
        <f t="shared" si="456"/>
        <v>15000</v>
      </c>
      <c r="AP259" s="502">
        <f t="shared" si="456"/>
        <v>7130061</v>
      </c>
      <c r="AQ259" s="502">
        <f t="shared" si="456"/>
        <v>210798</v>
      </c>
      <c r="AR259" s="502">
        <f t="shared" si="456"/>
        <v>0</v>
      </c>
      <c r="AS259" s="613">
        <f t="shared" si="456"/>
        <v>33.7241</v>
      </c>
    </row>
    <row r="260" spans="1:45" ht="14.1" customHeight="1" x14ac:dyDescent="0.2">
      <c r="A260" s="499">
        <v>65</v>
      </c>
      <c r="B260" s="511">
        <v>2316</v>
      </c>
      <c r="C260" s="512">
        <v>600080439</v>
      </c>
      <c r="D260" s="511">
        <v>70983224</v>
      </c>
      <c r="E260" s="510" t="s">
        <v>646</v>
      </c>
      <c r="F260" s="499">
        <v>3233</v>
      </c>
      <c r="G260" s="510" t="s">
        <v>283</v>
      </c>
      <c r="H260" s="495" t="s">
        <v>263</v>
      </c>
      <c r="I260" s="610">
        <v>2298691</v>
      </c>
      <c r="J260" s="490">
        <v>1606002</v>
      </c>
      <c r="K260" s="490">
        <v>100000</v>
      </c>
      <c r="L260" s="14">
        <v>576629</v>
      </c>
      <c r="M260" s="14">
        <v>16060</v>
      </c>
      <c r="N260" s="14">
        <v>0</v>
      </c>
      <c r="O260" s="664">
        <v>2.72</v>
      </c>
      <c r="P260" s="676">
        <f t="shared" si="368"/>
        <v>0</v>
      </c>
      <c r="Q260" s="492">
        <v>0</v>
      </c>
      <c r="R260" s="492">
        <v>0</v>
      </c>
      <c r="S260" s="492">
        <v>0</v>
      </c>
      <c r="T260" s="492">
        <v>0</v>
      </c>
      <c r="U260" s="492">
        <v>0</v>
      </c>
      <c r="V260" s="492">
        <f>P260+Q260+R260+S260+T260+U260</f>
        <v>0</v>
      </c>
      <c r="W260" s="492">
        <v>0</v>
      </c>
      <c r="X260" s="492">
        <v>0</v>
      </c>
      <c r="Y260" s="492">
        <v>0</v>
      </c>
      <c r="Z260" s="492">
        <f>W260+X260+Y260</f>
        <v>0</v>
      </c>
      <c r="AA260" s="492">
        <f>V260+Z260</f>
        <v>0</v>
      </c>
      <c r="AB260" s="494">
        <f>ROUND((V260+Z260)*33.8%,0)</f>
        <v>0</v>
      </c>
      <c r="AC260" s="494">
        <f>ROUND(V260*1%,0)</f>
        <v>0</v>
      </c>
      <c r="AD260" s="14">
        <v>0</v>
      </c>
      <c r="AE260" s="753">
        <f t="shared" si="369"/>
        <v>0</v>
      </c>
      <c r="AF260" s="858">
        <v>0</v>
      </c>
      <c r="AG260" s="491">
        <v>0</v>
      </c>
      <c r="AH260" s="491">
        <v>0</v>
      </c>
      <c r="AI260" s="491">
        <v>0</v>
      </c>
      <c r="AJ260" s="491">
        <v>0</v>
      </c>
      <c r="AK260" s="491">
        <v>0</v>
      </c>
      <c r="AL260" s="609">
        <f>SUM(AF260:AK260)</f>
        <v>0</v>
      </c>
      <c r="AM260" s="676">
        <f>I260+AE260</f>
        <v>2298691</v>
      </c>
      <c r="AN260" s="492">
        <f>J260+V260</f>
        <v>1606002</v>
      </c>
      <c r="AO260" s="492">
        <f>K260+Z260</f>
        <v>100000</v>
      </c>
      <c r="AP260" s="492">
        <f>L260+AB260</f>
        <v>576629</v>
      </c>
      <c r="AQ260" s="492">
        <f>M260+AC260</f>
        <v>16060</v>
      </c>
      <c r="AR260" s="573">
        <f>N260+AD260</f>
        <v>0</v>
      </c>
      <c r="AS260" s="609">
        <f>O260+AL260</f>
        <v>2.72</v>
      </c>
    </row>
    <row r="261" spans="1:45" ht="14.1" customHeight="1" x14ac:dyDescent="0.2">
      <c r="A261" s="509">
        <v>65</v>
      </c>
      <c r="B261" s="507">
        <v>2316</v>
      </c>
      <c r="C261" s="508">
        <v>600080439</v>
      </c>
      <c r="D261" s="507">
        <v>70983224</v>
      </c>
      <c r="E261" s="505" t="s">
        <v>647</v>
      </c>
      <c r="F261" s="509"/>
      <c r="G261" s="505"/>
      <c r="H261" s="504"/>
      <c r="I261" s="612">
        <v>2298691</v>
      </c>
      <c r="J261" s="503">
        <v>1606002</v>
      </c>
      <c r="K261" s="503">
        <v>100000</v>
      </c>
      <c r="L261" s="503">
        <v>576629</v>
      </c>
      <c r="M261" s="503">
        <v>16060</v>
      </c>
      <c r="N261" s="503">
        <v>0</v>
      </c>
      <c r="O261" s="837">
        <v>2.72</v>
      </c>
      <c r="P261" s="612">
        <f t="shared" ref="P261:AO261" si="457">SUM(P260)</f>
        <v>0</v>
      </c>
      <c r="Q261" s="502">
        <f t="shared" si="457"/>
        <v>0</v>
      </c>
      <c r="R261" s="502">
        <f t="shared" si="457"/>
        <v>0</v>
      </c>
      <c r="S261" s="502">
        <f t="shared" si="457"/>
        <v>0</v>
      </c>
      <c r="T261" s="502">
        <f t="shared" si="457"/>
        <v>0</v>
      </c>
      <c r="U261" s="502">
        <f t="shared" si="457"/>
        <v>0</v>
      </c>
      <c r="V261" s="502">
        <f t="shared" si="457"/>
        <v>0</v>
      </c>
      <c r="W261" s="502">
        <f t="shared" si="457"/>
        <v>0</v>
      </c>
      <c r="X261" s="502">
        <f t="shared" si="457"/>
        <v>0</v>
      </c>
      <c r="Y261" s="502">
        <f t="shared" si="457"/>
        <v>0</v>
      </c>
      <c r="Z261" s="502">
        <f t="shared" si="457"/>
        <v>0</v>
      </c>
      <c r="AA261" s="502">
        <f t="shared" si="457"/>
        <v>0</v>
      </c>
      <c r="AB261" s="502">
        <f t="shared" si="457"/>
        <v>0</v>
      </c>
      <c r="AC261" s="502">
        <f t="shared" si="457"/>
        <v>0</v>
      </c>
      <c r="AD261" s="502">
        <f t="shared" si="457"/>
        <v>0</v>
      </c>
      <c r="AE261" s="852">
        <f t="shared" si="457"/>
        <v>0</v>
      </c>
      <c r="AF261" s="857">
        <f t="shared" si="457"/>
        <v>0</v>
      </c>
      <c r="AG261" s="848">
        <f t="shared" si="457"/>
        <v>0</v>
      </c>
      <c r="AH261" s="848">
        <f t="shared" si="457"/>
        <v>0</v>
      </c>
      <c r="AI261" s="848">
        <f t="shared" si="457"/>
        <v>0</v>
      </c>
      <c r="AJ261" s="848">
        <f t="shared" si="457"/>
        <v>0</v>
      </c>
      <c r="AK261" s="848">
        <f t="shared" si="457"/>
        <v>0</v>
      </c>
      <c r="AL261" s="613">
        <f t="shared" si="457"/>
        <v>0</v>
      </c>
      <c r="AM261" s="612">
        <f t="shared" si="457"/>
        <v>2298691</v>
      </c>
      <c r="AN261" s="502">
        <f t="shared" si="457"/>
        <v>1606002</v>
      </c>
      <c r="AO261" s="549">
        <f t="shared" si="457"/>
        <v>100000</v>
      </c>
      <c r="AP261" s="502">
        <f t="shared" ref="AP261:AS261" si="458">SUM(AP260)</f>
        <v>576629</v>
      </c>
      <c r="AQ261" s="502">
        <f t="shared" si="458"/>
        <v>16060</v>
      </c>
      <c r="AR261" s="502">
        <f t="shared" si="458"/>
        <v>0</v>
      </c>
      <c r="AS261" s="613">
        <f t="shared" si="458"/>
        <v>2.72</v>
      </c>
    </row>
    <row r="262" spans="1:45" ht="14.1" customHeight="1" x14ac:dyDescent="0.2">
      <c r="A262" s="499">
        <v>66</v>
      </c>
      <c r="B262" s="511">
        <v>2402</v>
      </c>
      <c r="C262" s="512">
        <v>600078949</v>
      </c>
      <c r="D262" s="511">
        <v>70983208</v>
      </c>
      <c r="E262" s="510" t="s">
        <v>648</v>
      </c>
      <c r="F262" s="499">
        <v>3111</v>
      </c>
      <c r="G262" s="510" t="s">
        <v>277</v>
      </c>
      <c r="H262" s="495" t="s">
        <v>262</v>
      </c>
      <c r="I262" s="610">
        <v>6467659</v>
      </c>
      <c r="J262" s="14">
        <v>4797966</v>
      </c>
      <c r="K262" s="14">
        <v>0</v>
      </c>
      <c r="L262" s="14">
        <v>1621713</v>
      </c>
      <c r="M262" s="14">
        <v>47980</v>
      </c>
      <c r="N262" s="14">
        <v>0</v>
      </c>
      <c r="O262" s="121">
        <v>8</v>
      </c>
      <c r="P262" s="676">
        <f t="shared" si="368"/>
        <v>0</v>
      </c>
      <c r="Q262" s="492">
        <v>0</v>
      </c>
      <c r="R262" s="492">
        <v>0</v>
      </c>
      <c r="S262" s="492">
        <v>0</v>
      </c>
      <c r="T262" s="492">
        <v>0</v>
      </c>
      <c r="U262" s="492">
        <v>0</v>
      </c>
      <c r="V262" s="492">
        <f>P262+Q262+R262+S262+T262+U262</f>
        <v>0</v>
      </c>
      <c r="W262" s="492">
        <v>0</v>
      </c>
      <c r="X262" s="492">
        <v>0</v>
      </c>
      <c r="Y262" s="492">
        <v>0</v>
      </c>
      <c r="Z262" s="492">
        <f t="shared" ref="Z262:Z263" si="459">W262+X262+Y262</f>
        <v>0</v>
      </c>
      <c r="AA262" s="492">
        <f t="shared" ref="AA262:AA263" si="460">V262+Z262</f>
        <v>0</v>
      </c>
      <c r="AB262" s="494">
        <f t="shared" ref="AB262:AB263" si="461">ROUND((V262+Z262)*33.8%,0)</f>
        <v>0</v>
      </c>
      <c r="AC262" s="494">
        <f>ROUND(V262*1%,0)</f>
        <v>0</v>
      </c>
      <c r="AD262" s="14">
        <v>0</v>
      </c>
      <c r="AE262" s="753">
        <f t="shared" si="369"/>
        <v>0</v>
      </c>
      <c r="AF262" s="858">
        <v>0</v>
      </c>
      <c r="AG262" s="491">
        <v>0</v>
      </c>
      <c r="AH262" s="491">
        <v>0</v>
      </c>
      <c r="AI262" s="491">
        <v>0</v>
      </c>
      <c r="AJ262" s="491">
        <v>0</v>
      </c>
      <c r="AK262" s="491">
        <v>0</v>
      </c>
      <c r="AL262" s="609">
        <f>SUM(AF262:AK262)</f>
        <v>0</v>
      </c>
      <c r="AM262" s="676">
        <f>I262+AE262</f>
        <v>6467659</v>
      </c>
      <c r="AN262" s="492">
        <f>J262+V262</f>
        <v>4797966</v>
      </c>
      <c r="AO262" s="492">
        <f t="shared" ref="AO262:AO263" si="462">K262+Z262</f>
        <v>0</v>
      </c>
      <c r="AP262" s="492">
        <f t="shared" ref="AP262:AR263" si="463">L262+AB262</f>
        <v>1621713</v>
      </c>
      <c r="AQ262" s="492">
        <f t="shared" si="463"/>
        <v>47980</v>
      </c>
      <c r="AR262" s="573">
        <f t="shared" si="463"/>
        <v>0</v>
      </c>
      <c r="AS262" s="609">
        <f>O262+AL262</f>
        <v>8</v>
      </c>
    </row>
    <row r="263" spans="1:45" ht="14.1" customHeight="1" x14ac:dyDescent="0.2">
      <c r="A263" s="499">
        <v>66</v>
      </c>
      <c r="B263" s="511">
        <v>2402</v>
      </c>
      <c r="C263" s="512">
        <v>600078949</v>
      </c>
      <c r="D263" s="511">
        <v>70983208</v>
      </c>
      <c r="E263" s="510" t="s">
        <v>648</v>
      </c>
      <c r="F263" s="499">
        <v>3111</v>
      </c>
      <c r="G263" s="510" t="s">
        <v>278</v>
      </c>
      <c r="H263" s="495" t="s">
        <v>263</v>
      </c>
      <c r="I263" s="610">
        <v>475518</v>
      </c>
      <c r="J263" s="490">
        <v>352758</v>
      </c>
      <c r="K263" s="490">
        <v>0</v>
      </c>
      <c r="L263" s="14">
        <v>119232</v>
      </c>
      <c r="M263" s="14">
        <v>3528</v>
      </c>
      <c r="N263" s="14">
        <v>0</v>
      </c>
      <c r="O263" s="664">
        <v>0.89</v>
      </c>
      <c r="P263" s="676">
        <f t="shared" si="368"/>
        <v>0</v>
      </c>
      <c r="Q263" s="492">
        <v>0</v>
      </c>
      <c r="R263" s="492">
        <v>0</v>
      </c>
      <c r="S263" s="492">
        <v>0</v>
      </c>
      <c r="T263" s="492">
        <v>0</v>
      </c>
      <c r="U263" s="492">
        <v>0</v>
      </c>
      <c r="V263" s="492">
        <f>P263+Q263+R263+S263+T263+U263</f>
        <v>0</v>
      </c>
      <c r="W263" s="492">
        <v>0</v>
      </c>
      <c r="X263" s="492">
        <v>0</v>
      </c>
      <c r="Y263" s="492">
        <v>0</v>
      </c>
      <c r="Z263" s="492">
        <f t="shared" si="459"/>
        <v>0</v>
      </c>
      <c r="AA263" s="492">
        <f t="shared" si="460"/>
        <v>0</v>
      </c>
      <c r="AB263" s="494">
        <f t="shared" si="461"/>
        <v>0</v>
      </c>
      <c r="AC263" s="494">
        <f>ROUND(V263*1%,0)</f>
        <v>0</v>
      </c>
      <c r="AD263" s="14">
        <v>0</v>
      </c>
      <c r="AE263" s="753">
        <f t="shared" si="369"/>
        <v>0</v>
      </c>
      <c r="AF263" s="858">
        <v>0</v>
      </c>
      <c r="AG263" s="491">
        <v>0</v>
      </c>
      <c r="AH263" s="491">
        <v>0</v>
      </c>
      <c r="AI263" s="491">
        <v>0</v>
      </c>
      <c r="AJ263" s="491">
        <v>0</v>
      </c>
      <c r="AK263" s="491">
        <v>0</v>
      </c>
      <c r="AL263" s="609">
        <f>SUM(AF263:AK263)</f>
        <v>0</v>
      </c>
      <c r="AM263" s="676">
        <f>I263+AE263</f>
        <v>475518</v>
      </c>
      <c r="AN263" s="492">
        <f>J263+V263</f>
        <v>352758</v>
      </c>
      <c r="AO263" s="492">
        <f t="shared" si="462"/>
        <v>0</v>
      </c>
      <c r="AP263" s="492">
        <f t="shared" si="463"/>
        <v>119232</v>
      </c>
      <c r="AQ263" s="492">
        <f t="shared" si="463"/>
        <v>3528</v>
      </c>
      <c r="AR263" s="573">
        <f t="shared" si="463"/>
        <v>0</v>
      </c>
      <c r="AS263" s="609">
        <f>O263+AL263</f>
        <v>0.89</v>
      </c>
    </row>
    <row r="264" spans="1:45" ht="14.1" customHeight="1" x14ac:dyDescent="0.2">
      <c r="A264" s="509">
        <v>66</v>
      </c>
      <c r="B264" s="507">
        <v>2402</v>
      </c>
      <c r="C264" s="508">
        <v>600078949</v>
      </c>
      <c r="D264" s="507">
        <v>70983208</v>
      </c>
      <c r="E264" s="505" t="s">
        <v>649</v>
      </c>
      <c r="F264" s="509"/>
      <c r="G264" s="505"/>
      <c r="H264" s="504"/>
      <c r="I264" s="612">
        <v>6943177</v>
      </c>
      <c r="J264" s="503">
        <v>5150724</v>
      </c>
      <c r="K264" s="503">
        <v>0</v>
      </c>
      <c r="L264" s="503">
        <v>1740945</v>
      </c>
      <c r="M264" s="503">
        <v>51508</v>
      </c>
      <c r="N264" s="503">
        <v>0</v>
      </c>
      <c r="O264" s="837">
        <v>8.89</v>
      </c>
      <c r="P264" s="612">
        <f t="shared" ref="P264:AS264" si="464">SUM(P262:P263)</f>
        <v>0</v>
      </c>
      <c r="Q264" s="502">
        <f t="shared" si="464"/>
        <v>0</v>
      </c>
      <c r="R264" s="502">
        <f t="shared" si="464"/>
        <v>0</v>
      </c>
      <c r="S264" s="502">
        <f t="shared" si="464"/>
        <v>0</v>
      </c>
      <c r="T264" s="502">
        <f t="shared" si="464"/>
        <v>0</v>
      </c>
      <c r="U264" s="502">
        <f t="shared" si="464"/>
        <v>0</v>
      </c>
      <c r="V264" s="502">
        <f t="shared" si="464"/>
        <v>0</v>
      </c>
      <c r="W264" s="502">
        <f t="shared" si="464"/>
        <v>0</v>
      </c>
      <c r="X264" s="502">
        <f t="shared" si="464"/>
        <v>0</v>
      </c>
      <c r="Y264" s="502">
        <f t="shared" si="464"/>
        <v>0</v>
      </c>
      <c r="Z264" s="502">
        <f t="shared" si="464"/>
        <v>0</v>
      </c>
      <c r="AA264" s="502">
        <f t="shared" si="464"/>
        <v>0</v>
      </c>
      <c r="AB264" s="502">
        <f t="shared" si="464"/>
        <v>0</v>
      </c>
      <c r="AC264" s="502">
        <f t="shared" si="464"/>
        <v>0</v>
      </c>
      <c r="AD264" s="502">
        <f t="shared" si="464"/>
        <v>0</v>
      </c>
      <c r="AE264" s="852">
        <f t="shared" si="464"/>
        <v>0</v>
      </c>
      <c r="AF264" s="857">
        <f t="shared" si="464"/>
        <v>0</v>
      </c>
      <c r="AG264" s="848">
        <f t="shared" si="464"/>
        <v>0</v>
      </c>
      <c r="AH264" s="848">
        <f t="shared" si="464"/>
        <v>0</v>
      </c>
      <c r="AI264" s="848">
        <f t="shared" si="464"/>
        <v>0</v>
      </c>
      <c r="AJ264" s="848">
        <f t="shared" si="464"/>
        <v>0</v>
      </c>
      <c r="AK264" s="848">
        <f t="shared" si="464"/>
        <v>0</v>
      </c>
      <c r="AL264" s="613">
        <f t="shared" si="464"/>
        <v>0</v>
      </c>
      <c r="AM264" s="612">
        <f t="shared" si="464"/>
        <v>6943177</v>
      </c>
      <c r="AN264" s="502">
        <f t="shared" si="464"/>
        <v>5150724</v>
      </c>
      <c r="AO264" s="549">
        <f t="shared" si="464"/>
        <v>0</v>
      </c>
      <c r="AP264" s="502">
        <f t="shared" si="464"/>
        <v>1740945</v>
      </c>
      <c r="AQ264" s="502">
        <f t="shared" si="464"/>
        <v>51508</v>
      </c>
      <c r="AR264" s="502">
        <f t="shared" si="464"/>
        <v>0</v>
      </c>
      <c r="AS264" s="613">
        <f t="shared" si="464"/>
        <v>8.89</v>
      </c>
    </row>
    <row r="265" spans="1:45" ht="14.1" customHeight="1" x14ac:dyDescent="0.2">
      <c r="A265" s="499">
        <v>67</v>
      </c>
      <c r="B265" s="511">
        <v>2404</v>
      </c>
      <c r="C265" s="512">
        <v>600078957</v>
      </c>
      <c r="D265" s="511">
        <v>70983135</v>
      </c>
      <c r="E265" s="510" t="s">
        <v>650</v>
      </c>
      <c r="F265" s="499">
        <v>3111</v>
      </c>
      <c r="G265" s="510" t="s">
        <v>277</v>
      </c>
      <c r="H265" s="495" t="s">
        <v>262</v>
      </c>
      <c r="I265" s="610">
        <v>6397266</v>
      </c>
      <c r="J265" s="14">
        <v>4745747</v>
      </c>
      <c r="K265" s="14">
        <v>0</v>
      </c>
      <c r="L265" s="14">
        <v>1604062</v>
      </c>
      <c r="M265" s="14">
        <v>47457</v>
      </c>
      <c r="N265" s="14">
        <v>0</v>
      </c>
      <c r="O265" s="121">
        <v>8</v>
      </c>
      <c r="P265" s="676">
        <f t="shared" si="368"/>
        <v>0</v>
      </c>
      <c r="Q265" s="492">
        <v>0</v>
      </c>
      <c r="R265" s="492">
        <v>0</v>
      </c>
      <c r="S265" s="492">
        <v>0</v>
      </c>
      <c r="T265" s="492">
        <v>0</v>
      </c>
      <c r="U265" s="492">
        <v>0</v>
      </c>
      <c r="V265" s="492">
        <f>P265+Q265+R265+S265+T265+U265</f>
        <v>0</v>
      </c>
      <c r="W265" s="492">
        <v>0</v>
      </c>
      <c r="X265" s="492">
        <v>0</v>
      </c>
      <c r="Y265" s="492">
        <v>0</v>
      </c>
      <c r="Z265" s="492">
        <f t="shared" ref="Z265:Z266" si="465">W265+X265+Y265</f>
        <v>0</v>
      </c>
      <c r="AA265" s="492">
        <f t="shared" ref="AA265:AA266" si="466">V265+Z265</f>
        <v>0</v>
      </c>
      <c r="AB265" s="494">
        <f t="shared" ref="AB265:AB266" si="467">ROUND((V265+Z265)*33.8%,0)</f>
        <v>0</v>
      </c>
      <c r="AC265" s="494">
        <f>ROUND(V265*1%,0)</f>
        <v>0</v>
      </c>
      <c r="AD265" s="14">
        <v>0</v>
      </c>
      <c r="AE265" s="753">
        <f t="shared" si="369"/>
        <v>0</v>
      </c>
      <c r="AF265" s="858">
        <v>0</v>
      </c>
      <c r="AG265" s="491">
        <v>0</v>
      </c>
      <c r="AH265" s="491">
        <v>0</v>
      </c>
      <c r="AI265" s="491">
        <v>0</v>
      </c>
      <c r="AJ265" s="491">
        <v>0</v>
      </c>
      <c r="AK265" s="491">
        <v>0</v>
      </c>
      <c r="AL265" s="609">
        <f>SUM(AF265:AK265)</f>
        <v>0</v>
      </c>
      <c r="AM265" s="676">
        <f>I265+AE265</f>
        <v>6397266</v>
      </c>
      <c r="AN265" s="492">
        <f>J265+V265</f>
        <v>4745747</v>
      </c>
      <c r="AO265" s="492">
        <f t="shared" ref="AO265:AO266" si="468">K265+Z265</f>
        <v>0</v>
      </c>
      <c r="AP265" s="492">
        <f t="shared" ref="AP265:AR266" si="469">L265+AB265</f>
        <v>1604062</v>
      </c>
      <c r="AQ265" s="492">
        <f t="shared" si="469"/>
        <v>47457</v>
      </c>
      <c r="AR265" s="573">
        <f t="shared" si="469"/>
        <v>0</v>
      </c>
      <c r="AS265" s="609">
        <f>O265+AL265</f>
        <v>8</v>
      </c>
    </row>
    <row r="266" spans="1:45" ht="14.1" customHeight="1" x14ac:dyDescent="0.2">
      <c r="A266" s="499">
        <v>67</v>
      </c>
      <c r="B266" s="511">
        <v>2404</v>
      </c>
      <c r="C266" s="512">
        <v>600078957</v>
      </c>
      <c r="D266" s="511">
        <v>70983135</v>
      </c>
      <c r="E266" s="510" t="s">
        <v>650</v>
      </c>
      <c r="F266" s="499">
        <v>3111</v>
      </c>
      <c r="G266" s="513" t="s">
        <v>278</v>
      </c>
      <c r="H266" s="495" t="s">
        <v>263</v>
      </c>
      <c r="I266" s="610">
        <v>1161317</v>
      </c>
      <c r="J266" s="490">
        <v>861511</v>
      </c>
      <c r="K266" s="490">
        <v>0</v>
      </c>
      <c r="L266" s="14">
        <v>291191</v>
      </c>
      <c r="M266" s="14">
        <v>8615</v>
      </c>
      <c r="N266" s="14">
        <v>0</v>
      </c>
      <c r="O266" s="664">
        <v>2.23</v>
      </c>
      <c r="P266" s="676">
        <f t="shared" si="368"/>
        <v>0</v>
      </c>
      <c r="Q266" s="492">
        <v>0</v>
      </c>
      <c r="R266" s="492">
        <v>0</v>
      </c>
      <c r="S266" s="492">
        <v>0</v>
      </c>
      <c r="T266" s="492">
        <v>0</v>
      </c>
      <c r="U266" s="492">
        <v>0</v>
      </c>
      <c r="V266" s="492">
        <f>P266+Q266+R266+S266+T266+U266</f>
        <v>0</v>
      </c>
      <c r="W266" s="492">
        <v>0</v>
      </c>
      <c r="X266" s="492">
        <v>0</v>
      </c>
      <c r="Y266" s="492">
        <v>0</v>
      </c>
      <c r="Z266" s="492">
        <f t="shared" si="465"/>
        <v>0</v>
      </c>
      <c r="AA266" s="492">
        <f t="shared" si="466"/>
        <v>0</v>
      </c>
      <c r="AB266" s="494">
        <f t="shared" si="467"/>
        <v>0</v>
      </c>
      <c r="AC266" s="494">
        <f>ROUND(V266*1%,0)</f>
        <v>0</v>
      </c>
      <c r="AD266" s="14">
        <v>0</v>
      </c>
      <c r="AE266" s="753">
        <f t="shared" si="369"/>
        <v>0</v>
      </c>
      <c r="AF266" s="858">
        <v>0</v>
      </c>
      <c r="AG266" s="491">
        <v>0</v>
      </c>
      <c r="AH266" s="491">
        <v>0</v>
      </c>
      <c r="AI266" s="491">
        <v>0</v>
      </c>
      <c r="AJ266" s="491">
        <v>0</v>
      </c>
      <c r="AK266" s="491">
        <v>0</v>
      </c>
      <c r="AL266" s="609">
        <f>SUM(AF266:AK266)</f>
        <v>0</v>
      </c>
      <c r="AM266" s="676">
        <f>I266+AE266</f>
        <v>1161317</v>
      </c>
      <c r="AN266" s="492">
        <f>J266+V266</f>
        <v>861511</v>
      </c>
      <c r="AO266" s="492">
        <f t="shared" si="468"/>
        <v>0</v>
      </c>
      <c r="AP266" s="492">
        <f t="shared" si="469"/>
        <v>291191</v>
      </c>
      <c r="AQ266" s="492">
        <f t="shared" si="469"/>
        <v>8615</v>
      </c>
      <c r="AR266" s="573">
        <f t="shared" si="469"/>
        <v>0</v>
      </c>
      <c r="AS266" s="609">
        <f>O266+AL266</f>
        <v>2.23</v>
      </c>
    </row>
    <row r="267" spans="1:45" ht="14.1" customHeight="1" x14ac:dyDescent="0.2">
      <c r="A267" s="509">
        <v>67</v>
      </c>
      <c r="B267" s="507">
        <v>2404</v>
      </c>
      <c r="C267" s="508">
        <v>600078957</v>
      </c>
      <c r="D267" s="507">
        <v>70983135</v>
      </c>
      <c r="E267" s="505" t="s">
        <v>651</v>
      </c>
      <c r="F267" s="509"/>
      <c r="G267" s="505"/>
      <c r="H267" s="504"/>
      <c r="I267" s="612">
        <v>7558583</v>
      </c>
      <c r="J267" s="503">
        <v>5607258</v>
      </c>
      <c r="K267" s="503">
        <v>0</v>
      </c>
      <c r="L267" s="503">
        <v>1895253</v>
      </c>
      <c r="M267" s="503">
        <v>56072</v>
      </c>
      <c r="N267" s="503">
        <v>0</v>
      </c>
      <c r="O267" s="837">
        <v>10.23</v>
      </c>
      <c r="P267" s="612">
        <f t="shared" ref="P267:AS267" si="470">SUM(P265:P266)</f>
        <v>0</v>
      </c>
      <c r="Q267" s="502">
        <f t="shared" si="470"/>
        <v>0</v>
      </c>
      <c r="R267" s="502">
        <f t="shared" si="470"/>
        <v>0</v>
      </c>
      <c r="S267" s="502">
        <f t="shared" si="470"/>
        <v>0</v>
      </c>
      <c r="T267" s="502">
        <f t="shared" si="470"/>
        <v>0</v>
      </c>
      <c r="U267" s="502">
        <f t="shared" si="470"/>
        <v>0</v>
      </c>
      <c r="V267" s="502">
        <f t="shared" si="470"/>
        <v>0</v>
      </c>
      <c r="W267" s="502">
        <f t="shared" si="470"/>
        <v>0</v>
      </c>
      <c r="X267" s="502">
        <f t="shared" si="470"/>
        <v>0</v>
      </c>
      <c r="Y267" s="502">
        <f t="shared" si="470"/>
        <v>0</v>
      </c>
      <c r="Z267" s="502">
        <f t="shared" si="470"/>
        <v>0</v>
      </c>
      <c r="AA267" s="502">
        <f t="shared" si="470"/>
        <v>0</v>
      </c>
      <c r="AB267" s="502">
        <f t="shared" si="470"/>
        <v>0</v>
      </c>
      <c r="AC267" s="502">
        <f t="shared" si="470"/>
        <v>0</v>
      </c>
      <c r="AD267" s="502">
        <f t="shared" si="470"/>
        <v>0</v>
      </c>
      <c r="AE267" s="852">
        <f t="shared" si="470"/>
        <v>0</v>
      </c>
      <c r="AF267" s="857">
        <f t="shared" si="470"/>
        <v>0</v>
      </c>
      <c r="AG267" s="848">
        <f t="shared" si="470"/>
        <v>0</v>
      </c>
      <c r="AH267" s="848">
        <f t="shared" si="470"/>
        <v>0</v>
      </c>
      <c r="AI267" s="848">
        <f t="shared" si="470"/>
        <v>0</v>
      </c>
      <c r="AJ267" s="848">
        <f t="shared" si="470"/>
        <v>0</v>
      </c>
      <c r="AK267" s="848">
        <f t="shared" si="470"/>
        <v>0</v>
      </c>
      <c r="AL267" s="613">
        <f t="shared" si="470"/>
        <v>0</v>
      </c>
      <c r="AM267" s="612">
        <f t="shared" si="470"/>
        <v>7558583</v>
      </c>
      <c r="AN267" s="502">
        <f t="shared" si="470"/>
        <v>5607258</v>
      </c>
      <c r="AO267" s="549">
        <f t="shared" si="470"/>
        <v>0</v>
      </c>
      <c r="AP267" s="502">
        <f t="shared" si="470"/>
        <v>1895253</v>
      </c>
      <c r="AQ267" s="502">
        <f t="shared" si="470"/>
        <v>56072</v>
      </c>
      <c r="AR267" s="502">
        <f t="shared" si="470"/>
        <v>0</v>
      </c>
      <c r="AS267" s="613">
        <f t="shared" si="470"/>
        <v>10.23</v>
      </c>
    </row>
    <row r="268" spans="1:45" ht="14.1" customHeight="1" x14ac:dyDescent="0.2">
      <c r="A268" s="499">
        <v>68</v>
      </c>
      <c r="B268" s="511">
        <v>2439</v>
      </c>
      <c r="C268" s="512">
        <v>600078965</v>
      </c>
      <c r="D268" s="511">
        <v>70983143</v>
      </c>
      <c r="E268" s="510" t="s">
        <v>652</v>
      </c>
      <c r="F268" s="499">
        <v>3111</v>
      </c>
      <c r="G268" s="510" t="s">
        <v>277</v>
      </c>
      <c r="H268" s="495" t="s">
        <v>262</v>
      </c>
      <c r="I268" s="610">
        <v>3182578</v>
      </c>
      <c r="J268" s="14">
        <v>2360963</v>
      </c>
      <c r="K268" s="14">
        <v>0</v>
      </c>
      <c r="L268" s="14">
        <v>798005</v>
      </c>
      <c r="M268" s="14">
        <v>23610</v>
      </c>
      <c r="N268" s="14">
        <v>0</v>
      </c>
      <c r="O268" s="121">
        <v>4</v>
      </c>
      <c r="P268" s="676">
        <f t="shared" si="368"/>
        <v>0</v>
      </c>
      <c r="Q268" s="492">
        <v>0</v>
      </c>
      <c r="R268" s="492">
        <v>0</v>
      </c>
      <c r="S268" s="492">
        <v>0</v>
      </c>
      <c r="T268" s="492">
        <v>0</v>
      </c>
      <c r="U268" s="492">
        <v>0</v>
      </c>
      <c r="V268" s="492">
        <f>P268+Q268+R268+S268+T268+U268</f>
        <v>0</v>
      </c>
      <c r="W268" s="492">
        <v>0</v>
      </c>
      <c r="X268" s="492">
        <v>0</v>
      </c>
      <c r="Y268" s="492">
        <v>0</v>
      </c>
      <c r="Z268" s="492">
        <f t="shared" ref="Z268:Z269" si="471">W268+X268+Y268</f>
        <v>0</v>
      </c>
      <c r="AA268" s="492">
        <f t="shared" ref="AA268:AA269" si="472">V268+Z268</f>
        <v>0</v>
      </c>
      <c r="AB268" s="494">
        <f t="shared" ref="AB268:AB269" si="473">ROUND((V268+Z268)*33.8%,0)</f>
        <v>0</v>
      </c>
      <c r="AC268" s="494">
        <f>ROUND(V268*1%,0)</f>
        <v>0</v>
      </c>
      <c r="AD268" s="14">
        <v>0</v>
      </c>
      <c r="AE268" s="753">
        <f t="shared" si="369"/>
        <v>0</v>
      </c>
      <c r="AF268" s="858">
        <v>0</v>
      </c>
      <c r="AG268" s="491">
        <v>0</v>
      </c>
      <c r="AH268" s="491">
        <v>0</v>
      </c>
      <c r="AI268" s="491">
        <v>0</v>
      </c>
      <c r="AJ268" s="491">
        <v>0</v>
      </c>
      <c r="AK268" s="491">
        <v>0</v>
      </c>
      <c r="AL268" s="609">
        <f>SUM(AF268:AK268)</f>
        <v>0</v>
      </c>
      <c r="AM268" s="676">
        <f>I268+AE268</f>
        <v>3182578</v>
      </c>
      <c r="AN268" s="492">
        <f>J268+V268</f>
        <v>2360963</v>
      </c>
      <c r="AO268" s="492">
        <f t="shared" ref="AO268:AO269" si="474">K268+Z268</f>
        <v>0</v>
      </c>
      <c r="AP268" s="492">
        <f t="shared" ref="AP268:AR269" si="475">L268+AB268</f>
        <v>798005</v>
      </c>
      <c r="AQ268" s="492">
        <f t="shared" si="475"/>
        <v>23610</v>
      </c>
      <c r="AR268" s="573">
        <f t="shared" si="475"/>
        <v>0</v>
      </c>
      <c r="AS268" s="609">
        <f>O268+AL268</f>
        <v>4</v>
      </c>
    </row>
    <row r="269" spans="1:45" ht="14.1" customHeight="1" x14ac:dyDescent="0.2">
      <c r="A269" s="499">
        <v>68</v>
      </c>
      <c r="B269" s="511">
        <v>2439</v>
      </c>
      <c r="C269" s="512">
        <v>600078965</v>
      </c>
      <c r="D269" s="511">
        <v>70983143</v>
      </c>
      <c r="E269" s="510" t="s">
        <v>652</v>
      </c>
      <c r="F269" s="499">
        <v>3111</v>
      </c>
      <c r="G269" s="510" t="s">
        <v>278</v>
      </c>
      <c r="H269" s="495" t="s">
        <v>263</v>
      </c>
      <c r="I269" s="610">
        <v>534949</v>
      </c>
      <c r="J269" s="490">
        <v>396847</v>
      </c>
      <c r="K269" s="490">
        <v>0</v>
      </c>
      <c r="L269" s="14">
        <v>134134</v>
      </c>
      <c r="M269" s="14">
        <v>3968</v>
      </c>
      <c r="N269" s="14">
        <v>0</v>
      </c>
      <c r="O269" s="664">
        <v>1</v>
      </c>
      <c r="P269" s="676">
        <f t="shared" si="368"/>
        <v>0</v>
      </c>
      <c r="Q269" s="492">
        <v>0</v>
      </c>
      <c r="R269" s="492">
        <v>0</v>
      </c>
      <c r="S269" s="492">
        <v>0</v>
      </c>
      <c r="T269" s="492">
        <v>0</v>
      </c>
      <c r="U269" s="492">
        <v>0</v>
      </c>
      <c r="V269" s="492">
        <f>P269+Q269+R269+S269+T269+U269</f>
        <v>0</v>
      </c>
      <c r="W269" s="492">
        <v>0</v>
      </c>
      <c r="X269" s="492">
        <v>0</v>
      </c>
      <c r="Y269" s="492">
        <v>0</v>
      </c>
      <c r="Z269" s="492">
        <f t="shared" si="471"/>
        <v>0</v>
      </c>
      <c r="AA269" s="492">
        <f t="shared" si="472"/>
        <v>0</v>
      </c>
      <c r="AB269" s="494">
        <f t="shared" si="473"/>
        <v>0</v>
      </c>
      <c r="AC269" s="494">
        <f>ROUND(V269*1%,0)</f>
        <v>0</v>
      </c>
      <c r="AD269" s="14">
        <v>0</v>
      </c>
      <c r="AE269" s="753">
        <f t="shared" si="369"/>
        <v>0</v>
      </c>
      <c r="AF269" s="858">
        <v>0</v>
      </c>
      <c r="AG269" s="491">
        <v>0</v>
      </c>
      <c r="AH269" s="491">
        <v>0</v>
      </c>
      <c r="AI269" s="491">
        <v>0</v>
      </c>
      <c r="AJ269" s="491">
        <v>0</v>
      </c>
      <c r="AK269" s="491">
        <v>0</v>
      </c>
      <c r="AL269" s="609">
        <f>SUM(AF269:AK269)</f>
        <v>0</v>
      </c>
      <c r="AM269" s="676">
        <f>I269+AE269</f>
        <v>534949</v>
      </c>
      <c r="AN269" s="492">
        <f>J269+V269</f>
        <v>396847</v>
      </c>
      <c r="AO269" s="492">
        <f t="shared" si="474"/>
        <v>0</v>
      </c>
      <c r="AP269" s="492">
        <f t="shared" si="475"/>
        <v>134134</v>
      </c>
      <c r="AQ269" s="492">
        <f t="shared" si="475"/>
        <v>3968</v>
      </c>
      <c r="AR269" s="573">
        <f t="shared" si="475"/>
        <v>0</v>
      </c>
      <c r="AS269" s="609">
        <f>O269+AL269</f>
        <v>1</v>
      </c>
    </row>
    <row r="270" spans="1:45" ht="14.1" customHeight="1" x14ac:dyDescent="0.2">
      <c r="A270" s="509">
        <v>68</v>
      </c>
      <c r="B270" s="507">
        <v>2439</v>
      </c>
      <c r="C270" s="508">
        <v>600078965</v>
      </c>
      <c r="D270" s="507">
        <v>70983143</v>
      </c>
      <c r="E270" s="505" t="s">
        <v>653</v>
      </c>
      <c r="F270" s="509"/>
      <c r="G270" s="505"/>
      <c r="H270" s="504"/>
      <c r="I270" s="612">
        <v>3717527</v>
      </c>
      <c r="J270" s="503">
        <v>2757810</v>
      </c>
      <c r="K270" s="503">
        <v>0</v>
      </c>
      <c r="L270" s="503">
        <v>932139</v>
      </c>
      <c r="M270" s="503">
        <v>27578</v>
      </c>
      <c r="N270" s="503">
        <v>0</v>
      </c>
      <c r="O270" s="837">
        <v>5</v>
      </c>
      <c r="P270" s="612">
        <f t="shared" ref="P270:AS270" si="476">SUM(P268:P269)</f>
        <v>0</v>
      </c>
      <c r="Q270" s="502">
        <f t="shared" si="476"/>
        <v>0</v>
      </c>
      <c r="R270" s="502">
        <f t="shared" si="476"/>
        <v>0</v>
      </c>
      <c r="S270" s="502">
        <f t="shared" si="476"/>
        <v>0</v>
      </c>
      <c r="T270" s="502">
        <f t="shared" si="476"/>
        <v>0</v>
      </c>
      <c r="U270" s="502">
        <f t="shared" si="476"/>
        <v>0</v>
      </c>
      <c r="V270" s="502">
        <f t="shared" si="476"/>
        <v>0</v>
      </c>
      <c r="W270" s="502">
        <f t="shared" si="476"/>
        <v>0</v>
      </c>
      <c r="X270" s="502">
        <f t="shared" si="476"/>
        <v>0</v>
      </c>
      <c r="Y270" s="502">
        <f t="shared" si="476"/>
        <v>0</v>
      </c>
      <c r="Z270" s="502">
        <f t="shared" si="476"/>
        <v>0</v>
      </c>
      <c r="AA270" s="502">
        <f t="shared" si="476"/>
        <v>0</v>
      </c>
      <c r="AB270" s="502">
        <f t="shared" si="476"/>
        <v>0</v>
      </c>
      <c r="AC270" s="502">
        <f t="shared" si="476"/>
        <v>0</v>
      </c>
      <c r="AD270" s="502">
        <f t="shared" si="476"/>
        <v>0</v>
      </c>
      <c r="AE270" s="852">
        <f t="shared" si="476"/>
        <v>0</v>
      </c>
      <c r="AF270" s="857">
        <f t="shared" si="476"/>
        <v>0</v>
      </c>
      <c r="AG270" s="848">
        <f t="shared" si="476"/>
        <v>0</v>
      </c>
      <c r="AH270" s="848">
        <f t="shared" si="476"/>
        <v>0</v>
      </c>
      <c r="AI270" s="848">
        <f t="shared" si="476"/>
        <v>0</v>
      </c>
      <c r="AJ270" s="848">
        <f t="shared" si="476"/>
        <v>0</v>
      </c>
      <c r="AK270" s="848">
        <f t="shared" si="476"/>
        <v>0</v>
      </c>
      <c r="AL270" s="613">
        <f t="shared" si="476"/>
        <v>0</v>
      </c>
      <c r="AM270" s="612">
        <f t="shared" si="476"/>
        <v>3717527</v>
      </c>
      <c r="AN270" s="502">
        <f t="shared" si="476"/>
        <v>2757810</v>
      </c>
      <c r="AO270" s="549">
        <f t="shared" si="476"/>
        <v>0</v>
      </c>
      <c r="AP270" s="502">
        <f t="shared" si="476"/>
        <v>932139</v>
      </c>
      <c r="AQ270" s="502">
        <f t="shared" si="476"/>
        <v>27578</v>
      </c>
      <c r="AR270" s="502">
        <f t="shared" si="476"/>
        <v>0</v>
      </c>
      <c r="AS270" s="613">
        <f t="shared" si="476"/>
        <v>5</v>
      </c>
    </row>
    <row r="271" spans="1:45" ht="14.1" customHeight="1" x14ac:dyDescent="0.2">
      <c r="A271" s="499">
        <v>69</v>
      </c>
      <c r="B271" s="511">
        <v>2302</v>
      </c>
      <c r="C271" s="512">
        <v>600080366</v>
      </c>
      <c r="D271" s="511">
        <v>70983127</v>
      </c>
      <c r="E271" s="510" t="s">
        <v>654</v>
      </c>
      <c r="F271" s="499">
        <v>3111</v>
      </c>
      <c r="G271" s="510" t="s">
        <v>277</v>
      </c>
      <c r="H271" s="495" t="s">
        <v>262</v>
      </c>
      <c r="I271" s="610">
        <v>4802271</v>
      </c>
      <c r="J271" s="14">
        <v>3562516</v>
      </c>
      <c r="K271" s="14">
        <v>0</v>
      </c>
      <c r="L271" s="14">
        <v>1204130</v>
      </c>
      <c r="M271" s="14">
        <v>35625</v>
      </c>
      <c r="N271" s="14">
        <v>0</v>
      </c>
      <c r="O271" s="121">
        <v>6</v>
      </c>
      <c r="P271" s="676">
        <f t="shared" ref="P271:P333" si="477">W271*-1</f>
        <v>0</v>
      </c>
      <c r="Q271" s="492">
        <v>0</v>
      </c>
      <c r="R271" s="492">
        <v>0</v>
      </c>
      <c r="S271" s="492">
        <v>0</v>
      </c>
      <c r="T271" s="492">
        <v>0</v>
      </c>
      <c r="U271" s="492">
        <v>0</v>
      </c>
      <c r="V271" s="492">
        <f t="shared" ref="V271:V276" si="478">P271+Q271+R271+S271+T271+U271</f>
        <v>0</v>
      </c>
      <c r="W271" s="492">
        <v>0</v>
      </c>
      <c r="X271" s="492">
        <v>0</v>
      </c>
      <c r="Y271" s="492">
        <v>0</v>
      </c>
      <c r="Z271" s="492">
        <f t="shared" ref="Z271:Z276" si="479">W271+X271+Y271</f>
        <v>0</v>
      </c>
      <c r="AA271" s="492">
        <f t="shared" ref="AA271:AA276" si="480">V271+Z271</f>
        <v>0</v>
      </c>
      <c r="AB271" s="494">
        <f t="shared" ref="AB271:AB276" si="481">ROUND((V271+Z271)*33.8%,0)</f>
        <v>0</v>
      </c>
      <c r="AC271" s="494">
        <f t="shared" ref="AC271:AC276" si="482">ROUND(V271*1%,0)</f>
        <v>0</v>
      </c>
      <c r="AD271" s="14">
        <v>0</v>
      </c>
      <c r="AE271" s="753">
        <f t="shared" ref="AE271:AE333" si="483">AA271+AB271+AC271+AD271</f>
        <v>0</v>
      </c>
      <c r="AF271" s="858">
        <v>0</v>
      </c>
      <c r="AG271" s="491">
        <v>0</v>
      </c>
      <c r="AH271" s="491">
        <v>0</v>
      </c>
      <c r="AI271" s="491">
        <v>0</v>
      </c>
      <c r="AJ271" s="491">
        <v>0</v>
      </c>
      <c r="AK271" s="491">
        <v>0</v>
      </c>
      <c r="AL271" s="609">
        <f t="shared" ref="AL271:AL276" si="484">SUM(AF271:AK271)</f>
        <v>0</v>
      </c>
      <c r="AM271" s="676">
        <f t="shared" ref="AM271:AM276" si="485">I271+AE271</f>
        <v>4802271</v>
      </c>
      <c r="AN271" s="492">
        <f t="shared" ref="AN271:AN276" si="486">J271+V271</f>
        <v>3562516</v>
      </c>
      <c r="AO271" s="492">
        <f t="shared" ref="AO271:AO276" si="487">K271+Z271</f>
        <v>0</v>
      </c>
      <c r="AP271" s="492">
        <f t="shared" ref="AP271:AR276" si="488">L271+AB271</f>
        <v>1204130</v>
      </c>
      <c r="AQ271" s="492">
        <f t="shared" si="488"/>
        <v>35625</v>
      </c>
      <c r="AR271" s="573">
        <f t="shared" si="488"/>
        <v>0</v>
      </c>
      <c r="AS271" s="609">
        <f t="shared" ref="AS271:AS276" si="489">O271+AL271</f>
        <v>6</v>
      </c>
    </row>
    <row r="272" spans="1:45" ht="14.1" customHeight="1" x14ac:dyDescent="0.2">
      <c r="A272" s="499">
        <v>69</v>
      </c>
      <c r="B272" s="511">
        <v>2302</v>
      </c>
      <c r="C272" s="512">
        <v>600080366</v>
      </c>
      <c r="D272" s="511">
        <v>70983127</v>
      </c>
      <c r="E272" s="510" t="s">
        <v>654</v>
      </c>
      <c r="F272" s="499">
        <v>3111</v>
      </c>
      <c r="G272" s="39" t="s">
        <v>279</v>
      </c>
      <c r="H272" s="495" t="s">
        <v>262</v>
      </c>
      <c r="I272" s="610">
        <v>603349</v>
      </c>
      <c r="J272" s="14">
        <v>447588</v>
      </c>
      <c r="K272" s="14">
        <v>0</v>
      </c>
      <c r="L272" s="14">
        <v>151285</v>
      </c>
      <c r="M272" s="14">
        <v>4476</v>
      </c>
      <c r="N272" s="14">
        <v>0</v>
      </c>
      <c r="O272" s="121">
        <v>1</v>
      </c>
      <c r="P272" s="676">
        <f t="shared" si="477"/>
        <v>0</v>
      </c>
      <c r="Q272" s="492">
        <v>0</v>
      </c>
      <c r="R272" s="492">
        <v>0</v>
      </c>
      <c r="S272" s="492">
        <v>0</v>
      </c>
      <c r="T272" s="492">
        <v>0</v>
      </c>
      <c r="U272" s="492">
        <v>0</v>
      </c>
      <c r="V272" s="492">
        <f t="shared" si="478"/>
        <v>0</v>
      </c>
      <c r="W272" s="492">
        <v>0</v>
      </c>
      <c r="X272" s="492">
        <v>0</v>
      </c>
      <c r="Y272" s="492">
        <v>0</v>
      </c>
      <c r="Z272" s="492">
        <f t="shared" si="479"/>
        <v>0</v>
      </c>
      <c r="AA272" s="492">
        <f t="shared" si="480"/>
        <v>0</v>
      </c>
      <c r="AB272" s="494">
        <f t="shared" si="481"/>
        <v>0</v>
      </c>
      <c r="AC272" s="494">
        <f t="shared" si="482"/>
        <v>0</v>
      </c>
      <c r="AD272" s="14">
        <v>0</v>
      </c>
      <c r="AE272" s="753">
        <f t="shared" si="483"/>
        <v>0</v>
      </c>
      <c r="AF272" s="858">
        <v>0</v>
      </c>
      <c r="AG272" s="491">
        <v>0</v>
      </c>
      <c r="AH272" s="491">
        <v>0</v>
      </c>
      <c r="AI272" s="491">
        <v>0</v>
      </c>
      <c r="AJ272" s="491">
        <v>0</v>
      </c>
      <c r="AK272" s="491">
        <v>0</v>
      </c>
      <c r="AL272" s="609">
        <f t="shared" si="484"/>
        <v>0</v>
      </c>
      <c r="AM272" s="676">
        <f t="shared" si="485"/>
        <v>603349</v>
      </c>
      <c r="AN272" s="492">
        <f t="shared" si="486"/>
        <v>447588</v>
      </c>
      <c r="AO272" s="492">
        <f t="shared" si="487"/>
        <v>0</v>
      </c>
      <c r="AP272" s="492">
        <f t="shared" si="488"/>
        <v>151285</v>
      </c>
      <c r="AQ272" s="492">
        <f t="shared" si="488"/>
        <v>4476</v>
      </c>
      <c r="AR272" s="573">
        <f t="shared" si="488"/>
        <v>0</v>
      </c>
      <c r="AS272" s="609">
        <f t="shared" si="489"/>
        <v>1</v>
      </c>
    </row>
    <row r="273" spans="1:45" ht="14.1" customHeight="1" x14ac:dyDescent="0.2">
      <c r="A273" s="499">
        <v>69</v>
      </c>
      <c r="B273" s="511">
        <v>2302</v>
      </c>
      <c r="C273" s="512">
        <v>600080366</v>
      </c>
      <c r="D273" s="511">
        <v>70983127</v>
      </c>
      <c r="E273" s="510" t="s">
        <v>654</v>
      </c>
      <c r="F273" s="499">
        <v>3114</v>
      </c>
      <c r="G273" s="117" t="s">
        <v>511</v>
      </c>
      <c r="H273" s="495" t="s">
        <v>262</v>
      </c>
      <c r="I273" s="610">
        <v>9180494</v>
      </c>
      <c r="J273" s="14">
        <v>6810455</v>
      </c>
      <c r="K273" s="14">
        <v>0</v>
      </c>
      <c r="L273" s="14">
        <v>2301934</v>
      </c>
      <c r="M273" s="14">
        <v>68105</v>
      </c>
      <c r="N273" s="14">
        <v>0</v>
      </c>
      <c r="O273" s="121">
        <v>8.6363000000000003</v>
      </c>
      <c r="P273" s="676">
        <f t="shared" si="477"/>
        <v>0</v>
      </c>
      <c r="Q273" s="492">
        <v>0</v>
      </c>
      <c r="R273" s="492">
        <v>0</v>
      </c>
      <c r="S273" s="492">
        <v>0</v>
      </c>
      <c r="T273" s="492">
        <v>0</v>
      </c>
      <c r="U273" s="492">
        <v>0</v>
      </c>
      <c r="V273" s="492">
        <f t="shared" si="478"/>
        <v>0</v>
      </c>
      <c r="W273" s="492">
        <v>0</v>
      </c>
      <c r="X273" s="492">
        <v>0</v>
      </c>
      <c r="Y273" s="492">
        <v>0</v>
      </c>
      <c r="Z273" s="492">
        <f t="shared" si="479"/>
        <v>0</v>
      </c>
      <c r="AA273" s="492">
        <f t="shared" si="480"/>
        <v>0</v>
      </c>
      <c r="AB273" s="494">
        <f t="shared" si="481"/>
        <v>0</v>
      </c>
      <c r="AC273" s="494">
        <f t="shared" si="482"/>
        <v>0</v>
      </c>
      <c r="AD273" s="14">
        <v>0</v>
      </c>
      <c r="AE273" s="753">
        <f t="shared" si="483"/>
        <v>0</v>
      </c>
      <c r="AF273" s="858">
        <v>0</v>
      </c>
      <c r="AG273" s="491">
        <v>0</v>
      </c>
      <c r="AH273" s="491">
        <v>0</v>
      </c>
      <c r="AI273" s="491">
        <v>0</v>
      </c>
      <c r="AJ273" s="491">
        <v>0</v>
      </c>
      <c r="AK273" s="491">
        <v>0</v>
      </c>
      <c r="AL273" s="609">
        <f t="shared" si="484"/>
        <v>0</v>
      </c>
      <c r="AM273" s="676">
        <f t="shared" si="485"/>
        <v>9180494</v>
      </c>
      <c r="AN273" s="492">
        <f t="shared" si="486"/>
        <v>6810455</v>
      </c>
      <c r="AO273" s="492">
        <f t="shared" si="487"/>
        <v>0</v>
      </c>
      <c r="AP273" s="492">
        <f t="shared" si="488"/>
        <v>2301934</v>
      </c>
      <c r="AQ273" s="492">
        <f t="shared" si="488"/>
        <v>68105</v>
      </c>
      <c r="AR273" s="573">
        <f t="shared" si="488"/>
        <v>0</v>
      </c>
      <c r="AS273" s="609">
        <f t="shared" si="489"/>
        <v>8.6363000000000003</v>
      </c>
    </row>
    <row r="274" spans="1:45" ht="14.1" customHeight="1" x14ac:dyDescent="0.2">
      <c r="A274" s="499">
        <v>69</v>
      </c>
      <c r="B274" s="511">
        <v>2302</v>
      </c>
      <c r="C274" s="512">
        <v>600080366</v>
      </c>
      <c r="D274" s="511">
        <v>70983127</v>
      </c>
      <c r="E274" s="510" t="s">
        <v>654</v>
      </c>
      <c r="F274" s="499">
        <v>3114</v>
      </c>
      <c r="G274" s="39" t="s">
        <v>279</v>
      </c>
      <c r="H274" s="495" t="s">
        <v>262</v>
      </c>
      <c r="I274" s="610">
        <v>2909296</v>
      </c>
      <c r="J274" s="14">
        <v>2158232</v>
      </c>
      <c r="K274" s="14">
        <v>0</v>
      </c>
      <c r="L274" s="14">
        <v>729482</v>
      </c>
      <c r="M274" s="14">
        <v>21582</v>
      </c>
      <c r="N274" s="14">
        <v>0</v>
      </c>
      <c r="O274" s="121">
        <v>4.9387999999999996</v>
      </c>
      <c r="P274" s="676">
        <f t="shared" si="477"/>
        <v>0</v>
      </c>
      <c r="Q274" s="492">
        <v>0</v>
      </c>
      <c r="R274" s="492">
        <v>0</v>
      </c>
      <c r="S274" s="492">
        <v>0</v>
      </c>
      <c r="T274" s="492">
        <v>0</v>
      </c>
      <c r="U274" s="492">
        <v>0</v>
      </c>
      <c r="V274" s="492">
        <f t="shared" si="478"/>
        <v>0</v>
      </c>
      <c r="W274" s="492">
        <v>0</v>
      </c>
      <c r="X274" s="492">
        <v>0</v>
      </c>
      <c r="Y274" s="492">
        <v>0</v>
      </c>
      <c r="Z274" s="492">
        <f t="shared" si="479"/>
        <v>0</v>
      </c>
      <c r="AA274" s="492">
        <f t="shared" si="480"/>
        <v>0</v>
      </c>
      <c r="AB274" s="494">
        <f t="shared" si="481"/>
        <v>0</v>
      </c>
      <c r="AC274" s="494">
        <f t="shared" si="482"/>
        <v>0</v>
      </c>
      <c r="AD274" s="14">
        <v>0</v>
      </c>
      <c r="AE274" s="753">
        <f t="shared" si="483"/>
        <v>0</v>
      </c>
      <c r="AF274" s="858">
        <v>0</v>
      </c>
      <c r="AG274" s="491">
        <v>0</v>
      </c>
      <c r="AH274" s="491">
        <v>0</v>
      </c>
      <c r="AI274" s="491">
        <v>0</v>
      </c>
      <c r="AJ274" s="491">
        <v>0</v>
      </c>
      <c r="AK274" s="491">
        <v>0</v>
      </c>
      <c r="AL274" s="609">
        <f t="shared" si="484"/>
        <v>0</v>
      </c>
      <c r="AM274" s="676">
        <f t="shared" si="485"/>
        <v>2909296</v>
      </c>
      <c r="AN274" s="492">
        <f t="shared" si="486"/>
        <v>2158232</v>
      </c>
      <c r="AO274" s="492">
        <f t="shared" si="487"/>
        <v>0</v>
      </c>
      <c r="AP274" s="492">
        <f t="shared" si="488"/>
        <v>729482</v>
      </c>
      <c r="AQ274" s="492">
        <f t="shared" si="488"/>
        <v>21582</v>
      </c>
      <c r="AR274" s="573">
        <f t="shared" si="488"/>
        <v>0</v>
      </c>
      <c r="AS274" s="609">
        <f t="shared" si="489"/>
        <v>4.9387999999999996</v>
      </c>
    </row>
    <row r="275" spans="1:45" ht="14.1" customHeight="1" x14ac:dyDescent="0.2">
      <c r="A275" s="499">
        <v>69</v>
      </c>
      <c r="B275" s="511">
        <v>2302</v>
      </c>
      <c r="C275" s="512">
        <v>600080366</v>
      </c>
      <c r="D275" s="511">
        <v>70983127</v>
      </c>
      <c r="E275" s="510" t="s">
        <v>654</v>
      </c>
      <c r="F275" s="499">
        <v>3114</v>
      </c>
      <c r="G275" s="513" t="s">
        <v>278</v>
      </c>
      <c r="H275" s="495" t="s">
        <v>263</v>
      </c>
      <c r="I275" s="610">
        <v>1872325</v>
      </c>
      <c r="J275" s="490">
        <v>1388965</v>
      </c>
      <c r="K275" s="490">
        <v>0</v>
      </c>
      <c r="L275" s="14">
        <v>469470</v>
      </c>
      <c r="M275" s="14">
        <v>13890</v>
      </c>
      <c r="N275" s="14">
        <v>0</v>
      </c>
      <c r="O275" s="664">
        <v>3.5</v>
      </c>
      <c r="P275" s="676">
        <f t="shared" si="477"/>
        <v>0</v>
      </c>
      <c r="Q275" s="492">
        <v>0</v>
      </c>
      <c r="R275" s="492">
        <v>0</v>
      </c>
      <c r="S275" s="492">
        <v>0</v>
      </c>
      <c r="T275" s="492">
        <v>0</v>
      </c>
      <c r="U275" s="492">
        <v>0</v>
      </c>
      <c r="V275" s="492">
        <f t="shared" si="478"/>
        <v>0</v>
      </c>
      <c r="W275" s="492">
        <v>0</v>
      </c>
      <c r="X275" s="492">
        <v>0</v>
      </c>
      <c r="Y275" s="492">
        <v>0</v>
      </c>
      <c r="Z275" s="492">
        <f t="shared" si="479"/>
        <v>0</v>
      </c>
      <c r="AA275" s="492">
        <f t="shared" si="480"/>
        <v>0</v>
      </c>
      <c r="AB275" s="494">
        <f t="shared" si="481"/>
        <v>0</v>
      </c>
      <c r="AC275" s="494">
        <f t="shared" si="482"/>
        <v>0</v>
      </c>
      <c r="AD275" s="14">
        <v>0</v>
      </c>
      <c r="AE275" s="753">
        <f t="shared" si="483"/>
        <v>0</v>
      </c>
      <c r="AF275" s="858">
        <v>0</v>
      </c>
      <c r="AG275" s="491">
        <v>0</v>
      </c>
      <c r="AH275" s="491">
        <v>0</v>
      </c>
      <c r="AI275" s="491">
        <v>0</v>
      </c>
      <c r="AJ275" s="491">
        <v>0</v>
      </c>
      <c r="AK275" s="491">
        <v>0</v>
      </c>
      <c r="AL275" s="609">
        <f t="shared" si="484"/>
        <v>0</v>
      </c>
      <c r="AM275" s="676">
        <f t="shared" si="485"/>
        <v>1872325</v>
      </c>
      <c r="AN275" s="492">
        <f t="shared" si="486"/>
        <v>1388965</v>
      </c>
      <c r="AO275" s="492">
        <f t="shared" si="487"/>
        <v>0</v>
      </c>
      <c r="AP275" s="492">
        <f t="shared" si="488"/>
        <v>469470</v>
      </c>
      <c r="AQ275" s="492">
        <f t="shared" si="488"/>
        <v>13890</v>
      </c>
      <c r="AR275" s="573">
        <f t="shared" si="488"/>
        <v>0</v>
      </c>
      <c r="AS275" s="609">
        <f t="shared" si="489"/>
        <v>3.5</v>
      </c>
    </row>
    <row r="276" spans="1:45" ht="14.1" customHeight="1" x14ac:dyDescent="0.2">
      <c r="A276" s="499">
        <v>69</v>
      </c>
      <c r="B276" s="511">
        <v>2302</v>
      </c>
      <c r="C276" s="512">
        <v>600080366</v>
      </c>
      <c r="D276" s="511">
        <v>70983127</v>
      </c>
      <c r="E276" s="510" t="s">
        <v>654</v>
      </c>
      <c r="F276" s="499">
        <v>3143</v>
      </c>
      <c r="G276" s="513" t="s">
        <v>794</v>
      </c>
      <c r="H276" s="495" t="s">
        <v>262</v>
      </c>
      <c r="I276" s="610">
        <v>678195</v>
      </c>
      <c r="J276" s="14">
        <v>503112</v>
      </c>
      <c r="K276" s="14">
        <v>0</v>
      </c>
      <c r="L276" s="14">
        <v>170052</v>
      </c>
      <c r="M276" s="14">
        <v>5031</v>
      </c>
      <c r="N276" s="14">
        <v>0</v>
      </c>
      <c r="O276" s="121">
        <v>1</v>
      </c>
      <c r="P276" s="676">
        <f t="shared" si="477"/>
        <v>0</v>
      </c>
      <c r="Q276" s="492">
        <v>0</v>
      </c>
      <c r="R276" s="492">
        <v>0</v>
      </c>
      <c r="S276" s="492">
        <v>0</v>
      </c>
      <c r="T276" s="492">
        <v>0</v>
      </c>
      <c r="U276" s="492">
        <v>0</v>
      </c>
      <c r="V276" s="492">
        <f t="shared" si="478"/>
        <v>0</v>
      </c>
      <c r="W276" s="492">
        <v>0</v>
      </c>
      <c r="X276" s="492">
        <v>0</v>
      </c>
      <c r="Y276" s="492">
        <v>0</v>
      </c>
      <c r="Z276" s="492">
        <f t="shared" si="479"/>
        <v>0</v>
      </c>
      <c r="AA276" s="492">
        <f t="shared" si="480"/>
        <v>0</v>
      </c>
      <c r="AB276" s="494">
        <f t="shared" si="481"/>
        <v>0</v>
      </c>
      <c r="AC276" s="494">
        <f t="shared" si="482"/>
        <v>0</v>
      </c>
      <c r="AD276" s="14">
        <v>0</v>
      </c>
      <c r="AE276" s="753">
        <f t="shared" si="483"/>
        <v>0</v>
      </c>
      <c r="AF276" s="858">
        <v>0</v>
      </c>
      <c r="AG276" s="491">
        <v>0</v>
      </c>
      <c r="AH276" s="491">
        <v>0</v>
      </c>
      <c r="AI276" s="491">
        <v>0</v>
      </c>
      <c r="AJ276" s="491">
        <v>0</v>
      </c>
      <c r="AK276" s="491">
        <v>0</v>
      </c>
      <c r="AL276" s="609">
        <f t="shared" si="484"/>
        <v>0</v>
      </c>
      <c r="AM276" s="676">
        <f t="shared" si="485"/>
        <v>678195</v>
      </c>
      <c r="AN276" s="492">
        <f t="shared" si="486"/>
        <v>503112</v>
      </c>
      <c r="AO276" s="492">
        <f t="shared" si="487"/>
        <v>0</v>
      </c>
      <c r="AP276" s="492">
        <f t="shared" si="488"/>
        <v>170052</v>
      </c>
      <c r="AQ276" s="492">
        <f t="shared" si="488"/>
        <v>5031</v>
      </c>
      <c r="AR276" s="573">
        <f t="shared" si="488"/>
        <v>0</v>
      </c>
      <c r="AS276" s="609">
        <f t="shared" si="489"/>
        <v>1</v>
      </c>
    </row>
    <row r="277" spans="1:45" ht="14.1" customHeight="1" x14ac:dyDescent="0.2">
      <c r="A277" s="509">
        <v>69</v>
      </c>
      <c r="B277" s="507">
        <v>2302</v>
      </c>
      <c r="C277" s="508">
        <v>600080366</v>
      </c>
      <c r="D277" s="507">
        <v>70983127</v>
      </c>
      <c r="E277" s="505" t="s">
        <v>655</v>
      </c>
      <c r="F277" s="509"/>
      <c r="G277" s="505"/>
      <c r="H277" s="504"/>
      <c r="I277" s="612">
        <v>20045930</v>
      </c>
      <c r="J277" s="503">
        <v>14870868</v>
      </c>
      <c r="K277" s="503">
        <v>0</v>
      </c>
      <c r="L277" s="503">
        <v>5026353</v>
      </c>
      <c r="M277" s="503">
        <v>148709</v>
      </c>
      <c r="N277" s="503">
        <v>0</v>
      </c>
      <c r="O277" s="837">
        <v>25.075099999999999</v>
      </c>
      <c r="P277" s="612">
        <f t="shared" ref="P277:AS277" si="490">SUM(P271:P276)</f>
        <v>0</v>
      </c>
      <c r="Q277" s="502">
        <f t="shared" si="490"/>
        <v>0</v>
      </c>
      <c r="R277" s="502">
        <f t="shared" si="490"/>
        <v>0</v>
      </c>
      <c r="S277" s="502">
        <f t="shared" si="490"/>
        <v>0</v>
      </c>
      <c r="T277" s="502">
        <f t="shared" si="490"/>
        <v>0</v>
      </c>
      <c r="U277" s="502">
        <f t="shared" si="490"/>
        <v>0</v>
      </c>
      <c r="V277" s="502">
        <f t="shared" si="490"/>
        <v>0</v>
      </c>
      <c r="W277" s="502">
        <f t="shared" si="490"/>
        <v>0</v>
      </c>
      <c r="X277" s="502">
        <f t="shared" si="490"/>
        <v>0</v>
      </c>
      <c r="Y277" s="502">
        <f t="shared" si="490"/>
        <v>0</v>
      </c>
      <c r="Z277" s="502">
        <f t="shared" si="490"/>
        <v>0</v>
      </c>
      <c r="AA277" s="502">
        <f t="shared" si="490"/>
        <v>0</v>
      </c>
      <c r="AB277" s="502">
        <f t="shared" si="490"/>
        <v>0</v>
      </c>
      <c r="AC277" s="502">
        <f t="shared" si="490"/>
        <v>0</v>
      </c>
      <c r="AD277" s="502">
        <f t="shared" si="490"/>
        <v>0</v>
      </c>
      <c r="AE277" s="852">
        <f t="shared" si="490"/>
        <v>0</v>
      </c>
      <c r="AF277" s="857">
        <f t="shared" si="490"/>
        <v>0</v>
      </c>
      <c r="AG277" s="848">
        <f t="shared" si="490"/>
        <v>0</v>
      </c>
      <c r="AH277" s="848">
        <f t="shared" si="490"/>
        <v>0</v>
      </c>
      <c r="AI277" s="848">
        <f t="shared" si="490"/>
        <v>0</v>
      </c>
      <c r="AJ277" s="848">
        <f t="shared" si="490"/>
        <v>0</v>
      </c>
      <c r="AK277" s="848">
        <f t="shared" si="490"/>
        <v>0</v>
      </c>
      <c r="AL277" s="613">
        <f t="shared" si="490"/>
        <v>0</v>
      </c>
      <c r="AM277" s="612">
        <f t="shared" si="490"/>
        <v>20045930</v>
      </c>
      <c r="AN277" s="502">
        <f t="shared" si="490"/>
        <v>14870868</v>
      </c>
      <c r="AO277" s="549">
        <f t="shared" si="490"/>
        <v>0</v>
      </c>
      <c r="AP277" s="502">
        <f t="shared" si="490"/>
        <v>5026353</v>
      </c>
      <c r="AQ277" s="502">
        <f t="shared" si="490"/>
        <v>148709</v>
      </c>
      <c r="AR277" s="502">
        <f t="shared" si="490"/>
        <v>0</v>
      </c>
      <c r="AS277" s="613">
        <f t="shared" si="490"/>
        <v>25.075099999999999</v>
      </c>
    </row>
    <row r="278" spans="1:45" ht="14.1" customHeight="1" x14ac:dyDescent="0.2">
      <c r="A278" s="499">
        <v>70</v>
      </c>
      <c r="B278" s="511">
        <v>2454</v>
      </c>
      <c r="C278" s="512">
        <v>600079759</v>
      </c>
      <c r="D278" s="511">
        <v>70983119</v>
      </c>
      <c r="E278" s="510" t="s">
        <v>656</v>
      </c>
      <c r="F278" s="499">
        <v>3117</v>
      </c>
      <c r="G278" s="510" t="s">
        <v>280</v>
      </c>
      <c r="H278" s="495" t="s">
        <v>262</v>
      </c>
      <c r="I278" s="610">
        <v>7211388</v>
      </c>
      <c r="J278" s="14">
        <v>5300065</v>
      </c>
      <c r="K278" s="14">
        <v>50000</v>
      </c>
      <c r="L278" s="14">
        <v>1808322</v>
      </c>
      <c r="M278" s="14">
        <v>53001</v>
      </c>
      <c r="N278" s="14">
        <v>0</v>
      </c>
      <c r="O278" s="121">
        <v>7.7325999999999997</v>
      </c>
      <c r="P278" s="676">
        <f t="shared" si="477"/>
        <v>0</v>
      </c>
      <c r="Q278" s="492">
        <v>0</v>
      </c>
      <c r="R278" s="492">
        <v>0</v>
      </c>
      <c r="S278" s="492">
        <v>0</v>
      </c>
      <c r="T278" s="492">
        <v>0</v>
      </c>
      <c r="U278" s="492">
        <v>0</v>
      </c>
      <c r="V278" s="492">
        <f>P278+Q278+R278+S278+T278+U278</f>
        <v>0</v>
      </c>
      <c r="W278" s="492">
        <v>0</v>
      </c>
      <c r="X278" s="492">
        <v>0</v>
      </c>
      <c r="Y278" s="492">
        <v>0</v>
      </c>
      <c r="Z278" s="492">
        <f t="shared" ref="Z278:Z280" si="491">W278+X278+Y278</f>
        <v>0</v>
      </c>
      <c r="AA278" s="492">
        <f t="shared" ref="AA278:AA280" si="492">V278+Z278</f>
        <v>0</v>
      </c>
      <c r="AB278" s="494">
        <f t="shared" ref="AB278:AB280" si="493">ROUND((V278+Z278)*33.8%,0)</f>
        <v>0</v>
      </c>
      <c r="AC278" s="494">
        <f>ROUND(V278*1%,0)</f>
        <v>0</v>
      </c>
      <c r="AD278" s="14">
        <v>0</v>
      </c>
      <c r="AE278" s="753">
        <f t="shared" si="483"/>
        <v>0</v>
      </c>
      <c r="AF278" s="858">
        <v>0</v>
      </c>
      <c r="AG278" s="491">
        <v>0</v>
      </c>
      <c r="AH278" s="491">
        <v>0</v>
      </c>
      <c r="AI278" s="491">
        <v>0</v>
      </c>
      <c r="AJ278" s="491">
        <v>0</v>
      </c>
      <c r="AK278" s="491">
        <v>0</v>
      </c>
      <c r="AL278" s="609">
        <f>SUM(AF278:AK278)</f>
        <v>0</v>
      </c>
      <c r="AM278" s="676">
        <f>I278+AE278</f>
        <v>7211388</v>
      </c>
      <c r="AN278" s="492">
        <f>J278+V278</f>
        <v>5300065</v>
      </c>
      <c r="AO278" s="492">
        <f t="shared" ref="AO278:AO280" si="494">K278+Z278</f>
        <v>50000</v>
      </c>
      <c r="AP278" s="492">
        <f t="shared" ref="AP278:AR280" si="495">L278+AB278</f>
        <v>1808322</v>
      </c>
      <c r="AQ278" s="492">
        <f t="shared" si="495"/>
        <v>53001</v>
      </c>
      <c r="AR278" s="573">
        <f t="shared" si="495"/>
        <v>0</v>
      </c>
      <c r="AS278" s="609">
        <f>O278+AL278</f>
        <v>7.7325999999999997</v>
      </c>
    </row>
    <row r="279" spans="1:45" ht="14.1" customHeight="1" x14ac:dyDescent="0.2">
      <c r="A279" s="499">
        <v>70</v>
      </c>
      <c r="B279" s="511">
        <v>2454</v>
      </c>
      <c r="C279" s="512">
        <v>600079759</v>
      </c>
      <c r="D279" s="511">
        <v>70983119</v>
      </c>
      <c r="E279" s="510" t="s">
        <v>656</v>
      </c>
      <c r="F279" s="499">
        <v>3117</v>
      </c>
      <c r="G279" s="513" t="s">
        <v>278</v>
      </c>
      <c r="H279" s="495" t="s">
        <v>263</v>
      </c>
      <c r="I279" s="610">
        <v>2422481</v>
      </c>
      <c r="J279" s="490">
        <v>1797093</v>
      </c>
      <c r="K279" s="490">
        <v>0</v>
      </c>
      <c r="L279" s="14">
        <v>607417</v>
      </c>
      <c r="M279" s="14">
        <v>17971</v>
      </c>
      <c r="N279" s="14">
        <v>0</v>
      </c>
      <c r="O279" s="664">
        <v>4.41</v>
      </c>
      <c r="P279" s="676">
        <f t="shared" si="477"/>
        <v>0</v>
      </c>
      <c r="Q279" s="492">
        <v>-22075</v>
      </c>
      <c r="R279" s="492">
        <v>0</v>
      </c>
      <c r="S279" s="492">
        <v>0</v>
      </c>
      <c r="T279" s="492">
        <v>0</v>
      </c>
      <c r="U279" s="492">
        <v>0</v>
      </c>
      <c r="V279" s="492">
        <f>P279+Q279+R279+S279+T279+U279</f>
        <v>-22075</v>
      </c>
      <c r="W279" s="492">
        <v>0</v>
      </c>
      <c r="X279" s="492">
        <v>0</v>
      </c>
      <c r="Y279" s="492">
        <v>0</v>
      </c>
      <c r="Z279" s="492">
        <f t="shared" si="491"/>
        <v>0</v>
      </c>
      <c r="AA279" s="492">
        <f t="shared" si="492"/>
        <v>-22075</v>
      </c>
      <c r="AB279" s="494">
        <f t="shared" si="493"/>
        <v>-7461</v>
      </c>
      <c r="AC279" s="494">
        <f>ROUND(V279*1%,0)</f>
        <v>-221</v>
      </c>
      <c r="AD279" s="14">
        <v>0</v>
      </c>
      <c r="AE279" s="753">
        <f t="shared" si="483"/>
        <v>-29757</v>
      </c>
      <c r="AF279" s="858">
        <v>0</v>
      </c>
      <c r="AG279" s="491">
        <v>-0.04</v>
      </c>
      <c r="AH279" s="491">
        <v>0</v>
      </c>
      <c r="AI279" s="491">
        <v>0</v>
      </c>
      <c r="AJ279" s="491">
        <v>0</v>
      </c>
      <c r="AK279" s="491">
        <v>0</v>
      </c>
      <c r="AL279" s="609">
        <f>SUM(AF279:AK279)</f>
        <v>-0.04</v>
      </c>
      <c r="AM279" s="676">
        <f>I279+AE279</f>
        <v>2392724</v>
      </c>
      <c r="AN279" s="492">
        <f>J279+V279</f>
        <v>1775018</v>
      </c>
      <c r="AO279" s="492">
        <f t="shared" si="494"/>
        <v>0</v>
      </c>
      <c r="AP279" s="492">
        <f t="shared" si="495"/>
        <v>599956</v>
      </c>
      <c r="AQ279" s="492">
        <f t="shared" si="495"/>
        <v>17750</v>
      </c>
      <c r="AR279" s="573">
        <f t="shared" si="495"/>
        <v>0</v>
      </c>
      <c r="AS279" s="609">
        <f>O279+AL279</f>
        <v>4.37</v>
      </c>
    </row>
    <row r="280" spans="1:45" ht="14.1" customHeight="1" x14ac:dyDescent="0.2">
      <c r="A280" s="499">
        <v>70</v>
      </c>
      <c r="B280" s="511">
        <v>2454</v>
      </c>
      <c r="C280" s="512">
        <v>600079759</v>
      </c>
      <c r="D280" s="511">
        <v>70983119</v>
      </c>
      <c r="E280" s="510" t="s">
        <v>656</v>
      </c>
      <c r="F280" s="499">
        <v>3143</v>
      </c>
      <c r="G280" s="513" t="s">
        <v>795</v>
      </c>
      <c r="H280" s="495" t="s">
        <v>262</v>
      </c>
      <c r="I280" s="610">
        <v>1091920</v>
      </c>
      <c r="J280" s="14">
        <v>810030</v>
      </c>
      <c r="K280" s="14">
        <v>0</v>
      </c>
      <c r="L280" s="14">
        <v>273790</v>
      </c>
      <c r="M280" s="14">
        <v>8100</v>
      </c>
      <c r="N280" s="14">
        <v>0</v>
      </c>
      <c r="O280" s="121">
        <v>1.5570999999999999</v>
      </c>
      <c r="P280" s="676">
        <f t="shared" si="477"/>
        <v>0</v>
      </c>
      <c r="Q280" s="492">
        <v>0</v>
      </c>
      <c r="R280" s="492">
        <v>0</v>
      </c>
      <c r="S280" s="492">
        <v>0</v>
      </c>
      <c r="T280" s="492">
        <v>0</v>
      </c>
      <c r="U280" s="492">
        <v>0</v>
      </c>
      <c r="V280" s="492">
        <f>P280+Q280+R280+S280+T280+U280</f>
        <v>0</v>
      </c>
      <c r="W280" s="492">
        <v>0</v>
      </c>
      <c r="X280" s="492">
        <v>0</v>
      </c>
      <c r="Y280" s="492">
        <v>0</v>
      </c>
      <c r="Z280" s="492">
        <f t="shared" si="491"/>
        <v>0</v>
      </c>
      <c r="AA280" s="492">
        <f t="shared" si="492"/>
        <v>0</v>
      </c>
      <c r="AB280" s="494">
        <f t="shared" si="493"/>
        <v>0</v>
      </c>
      <c r="AC280" s="494">
        <f>ROUND(V280*1%,0)</f>
        <v>0</v>
      </c>
      <c r="AD280" s="14">
        <v>0</v>
      </c>
      <c r="AE280" s="753">
        <f t="shared" si="483"/>
        <v>0</v>
      </c>
      <c r="AF280" s="858">
        <v>0</v>
      </c>
      <c r="AG280" s="491">
        <v>0</v>
      </c>
      <c r="AH280" s="491">
        <v>0</v>
      </c>
      <c r="AI280" s="491">
        <v>0</v>
      </c>
      <c r="AJ280" s="491">
        <v>0</v>
      </c>
      <c r="AK280" s="491">
        <v>0</v>
      </c>
      <c r="AL280" s="609">
        <f>SUM(AF280:AK280)</f>
        <v>0</v>
      </c>
      <c r="AM280" s="676">
        <f>I280+AE280</f>
        <v>1091920</v>
      </c>
      <c r="AN280" s="492">
        <f>J280+V280</f>
        <v>810030</v>
      </c>
      <c r="AO280" s="492">
        <f t="shared" si="494"/>
        <v>0</v>
      </c>
      <c r="AP280" s="492">
        <f t="shared" si="495"/>
        <v>273790</v>
      </c>
      <c r="AQ280" s="492">
        <f t="shared" si="495"/>
        <v>8100</v>
      </c>
      <c r="AR280" s="573">
        <f t="shared" si="495"/>
        <v>0</v>
      </c>
      <c r="AS280" s="609">
        <f>O280+AL280</f>
        <v>1.5570999999999999</v>
      </c>
    </row>
    <row r="281" spans="1:45" ht="14.1" customHeight="1" x14ac:dyDescent="0.2">
      <c r="A281" s="509">
        <v>70</v>
      </c>
      <c r="B281" s="507">
        <v>2454</v>
      </c>
      <c r="C281" s="508">
        <v>600079759</v>
      </c>
      <c r="D281" s="507">
        <v>70983119</v>
      </c>
      <c r="E281" s="505" t="s">
        <v>657</v>
      </c>
      <c r="F281" s="509"/>
      <c r="G281" s="505"/>
      <c r="H281" s="504"/>
      <c r="I281" s="612">
        <v>10725789</v>
      </c>
      <c r="J281" s="503">
        <v>7907188</v>
      </c>
      <c r="K281" s="503">
        <v>50000</v>
      </c>
      <c r="L281" s="503">
        <v>2689529</v>
      </c>
      <c r="M281" s="503">
        <v>79072</v>
      </c>
      <c r="N281" s="503">
        <v>0</v>
      </c>
      <c r="O281" s="837">
        <v>13.6997</v>
      </c>
      <c r="P281" s="612">
        <f t="shared" ref="P281:AS281" si="496">SUM(P278:P280)</f>
        <v>0</v>
      </c>
      <c r="Q281" s="502">
        <f t="shared" si="496"/>
        <v>-22075</v>
      </c>
      <c r="R281" s="502">
        <f t="shared" si="496"/>
        <v>0</v>
      </c>
      <c r="S281" s="502">
        <f t="shared" si="496"/>
        <v>0</v>
      </c>
      <c r="T281" s="502">
        <f t="shared" si="496"/>
        <v>0</v>
      </c>
      <c r="U281" s="502">
        <f t="shared" si="496"/>
        <v>0</v>
      </c>
      <c r="V281" s="502">
        <f t="shared" si="496"/>
        <v>-22075</v>
      </c>
      <c r="W281" s="502">
        <f t="shared" si="496"/>
        <v>0</v>
      </c>
      <c r="X281" s="502">
        <f t="shared" si="496"/>
        <v>0</v>
      </c>
      <c r="Y281" s="502">
        <f t="shared" si="496"/>
        <v>0</v>
      </c>
      <c r="Z281" s="502">
        <f t="shared" si="496"/>
        <v>0</v>
      </c>
      <c r="AA281" s="502">
        <f t="shared" si="496"/>
        <v>-22075</v>
      </c>
      <c r="AB281" s="502">
        <f t="shared" si="496"/>
        <v>-7461</v>
      </c>
      <c r="AC281" s="502">
        <f t="shared" si="496"/>
        <v>-221</v>
      </c>
      <c r="AD281" s="502">
        <f t="shared" si="496"/>
        <v>0</v>
      </c>
      <c r="AE281" s="852">
        <f t="shared" si="496"/>
        <v>-29757</v>
      </c>
      <c r="AF281" s="857">
        <f t="shared" si="496"/>
        <v>0</v>
      </c>
      <c r="AG281" s="848">
        <f t="shared" si="496"/>
        <v>-0.04</v>
      </c>
      <c r="AH281" s="848">
        <f t="shared" si="496"/>
        <v>0</v>
      </c>
      <c r="AI281" s="848">
        <f t="shared" si="496"/>
        <v>0</v>
      </c>
      <c r="AJ281" s="848">
        <f t="shared" si="496"/>
        <v>0</v>
      </c>
      <c r="AK281" s="848">
        <f t="shared" si="496"/>
        <v>0</v>
      </c>
      <c r="AL281" s="613">
        <f t="shared" si="496"/>
        <v>-0.04</v>
      </c>
      <c r="AM281" s="612">
        <f t="shared" si="496"/>
        <v>10696032</v>
      </c>
      <c r="AN281" s="502">
        <f t="shared" si="496"/>
        <v>7885113</v>
      </c>
      <c r="AO281" s="549">
        <f t="shared" si="496"/>
        <v>50000</v>
      </c>
      <c r="AP281" s="502">
        <f t="shared" si="496"/>
        <v>2682068</v>
      </c>
      <c r="AQ281" s="502">
        <f t="shared" si="496"/>
        <v>78851</v>
      </c>
      <c r="AR281" s="502">
        <f t="shared" si="496"/>
        <v>0</v>
      </c>
      <c r="AS281" s="613">
        <f t="shared" si="496"/>
        <v>13.659699999999999</v>
      </c>
    </row>
    <row r="282" spans="1:45" ht="14.1" customHeight="1" x14ac:dyDescent="0.2">
      <c r="A282" s="499">
        <v>71</v>
      </c>
      <c r="B282" s="511">
        <v>2492</v>
      </c>
      <c r="C282" s="512">
        <v>600079767</v>
      </c>
      <c r="D282" s="511">
        <v>70983011</v>
      </c>
      <c r="E282" s="510" t="s">
        <v>738</v>
      </c>
      <c r="F282" s="499">
        <v>3113</v>
      </c>
      <c r="G282" s="510" t="s">
        <v>280</v>
      </c>
      <c r="H282" s="495" t="s">
        <v>262</v>
      </c>
      <c r="I282" s="610">
        <v>25208922</v>
      </c>
      <c r="J282" s="14">
        <v>18700980</v>
      </c>
      <c r="K282" s="14">
        <v>0</v>
      </c>
      <c r="L282" s="14">
        <v>6320932</v>
      </c>
      <c r="M282" s="14">
        <v>187010</v>
      </c>
      <c r="N282" s="14">
        <v>0</v>
      </c>
      <c r="O282" s="121">
        <v>26.7319</v>
      </c>
      <c r="P282" s="676">
        <f t="shared" si="477"/>
        <v>0</v>
      </c>
      <c r="Q282" s="492">
        <v>0</v>
      </c>
      <c r="R282" s="492">
        <v>0</v>
      </c>
      <c r="S282" s="492">
        <v>0</v>
      </c>
      <c r="T282" s="492">
        <v>0</v>
      </c>
      <c r="U282" s="492">
        <v>0</v>
      </c>
      <c r="V282" s="492">
        <f>P282+Q282+R282+S282+T282+U282</f>
        <v>0</v>
      </c>
      <c r="W282" s="492">
        <v>0</v>
      </c>
      <c r="X282" s="492">
        <v>0</v>
      </c>
      <c r="Y282" s="492">
        <v>0</v>
      </c>
      <c r="Z282" s="492">
        <f t="shared" ref="Z282:Z286" si="497">W282+X282+Y282</f>
        <v>0</v>
      </c>
      <c r="AA282" s="492">
        <f t="shared" ref="AA282:AA286" si="498">V282+Z282</f>
        <v>0</v>
      </c>
      <c r="AB282" s="494">
        <f t="shared" ref="AB282:AB286" si="499">ROUND((V282+Z282)*33.8%,0)</f>
        <v>0</v>
      </c>
      <c r="AC282" s="494">
        <f t="shared" ref="AC282:AC286" si="500">ROUND(V282*1%,0)</f>
        <v>0</v>
      </c>
      <c r="AD282" s="14">
        <v>0</v>
      </c>
      <c r="AE282" s="753">
        <f t="shared" si="483"/>
        <v>0</v>
      </c>
      <c r="AF282" s="858">
        <v>0</v>
      </c>
      <c r="AG282" s="491">
        <v>0</v>
      </c>
      <c r="AH282" s="491">
        <v>0</v>
      </c>
      <c r="AI282" s="491">
        <v>0</v>
      </c>
      <c r="AJ282" s="491">
        <v>0</v>
      </c>
      <c r="AK282" s="491">
        <v>0</v>
      </c>
      <c r="AL282" s="609">
        <f>SUM(AF282:AK282)</f>
        <v>0</v>
      </c>
      <c r="AM282" s="676">
        <f>I282+AE282</f>
        <v>25208922</v>
      </c>
      <c r="AN282" s="492">
        <f>J282+V282</f>
        <v>18700980</v>
      </c>
      <c r="AO282" s="492">
        <f t="shared" ref="AO282:AO286" si="501">K282+Z282</f>
        <v>0</v>
      </c>
      <c r="AP282" s="492">
        <f t="shared" ref="AP282:AR286" si="502">L282+AB282</f>
        <v>6320932</v>
      </c>
      <c r="AQ282" s="492">
        <f t="shared" si="502"/>
        <v>187010</v>
      </c>
      <c r="AR282" s="573">
        <f t="shared" si="502"/>
        <v>0</v>
      </c>
      <c r="AS282" s="609">
        <f>O282+AL282</f>
        <v>26.7319</v>
      </c>
    </row>
    <row r="283" spans="1:45" ht="14.1" customHeight="1" x14ac:dyDescent="0.2">
      <c r="A283" s="499">
        <v>71</v>
      </c>
      <c r="B283" s="511">
        <v>2492</v>
      </c>
      <c r="C283" s="512">
        <v>600079767</v>
      </c>
      <c r="D283" s="511">
        <v>70983011</v>
      </c>
      <c r="E283" s="510" t="s">
        <v>738</v>
      </c>
      <c r="F283" s="499">
        <v>3113</v>
      </c>
      <c r="G283" s="510" t="s">
        <v>799</v>
      </c>
      <c r="H283" s="495" t="s">
        <v>262</v>
      </c>
      <c r="I283" s="610">
        <v>419678</v>
      </c>
      <c r="J283" s="14">
        <v>311334</v>
      </c>
      <c r="K283" s="14">
        <v>0</v>
      </c>
      <c r="L283" s="14">
        <v>105231</v>
      </c>
      <c r="M283" s="14">
        <v>3113</v>
      </c>
      <c r="N283" s="14">
        <v>0</v>
      </c>
      <c r="O283" s="121">
        <v>0.5</v>
      </c>
      <c r="P283" s="676">
        <f t="shared" si="477"/>
        <v>0</v>
      </c>
      <c r="Q283" s="492">
        <v>0</v>
      </c>
      <c r="R283" s="492">
        <v>0</v>
      </c>
      <c r="S283" s="492">
        <v>0</v>
      </c>
      <c r="T283" s="492">
        <v>0</v>
      </c>
      <c r="U283" s="492">
        <v>0</v>
      </c>
      <c r="V283" s="492">
        <f>P283+Q283+R283+S283+T283+U283</f>
        <v>0</v>
      </c>
      <c r="W283" s="492">
        <v>0</v>
      </c>
      <c r="X283" s="492">
        <v>0</v>
      </c>
      <c r="Y283" s="492">
        <v>0</v>
      </c>
      <c r="Z283" s="492">
        <f t="shared" ref="Z283" si="503">W283+X283+Y283</f>
        <v>0</v>
      </c>
      <c r="AA283" s="492">
        <f t="shared" ref="AA283" si="504">V283+Z283</f>
        <v>0</v>
      </c>
      <c r="AB283" s="494">
        <f t="shared" ref="AB283" si="505">ROUND((V283+Z283)*33.8%,0)</f>
        <v>0</v>
      </c>
      <c r="AC283" s="494">
        <f t="shared" ref="AC283" si="506">ROUND(V283*1%,0)</f>
        <v>0</v>
      </c>
      <c r="AD283" s="14">
        <v>0</v>
      </c>
      <c r="AE283" s="753">
        <f t="shared" si="483"/>
        <v>0</v>
      </c>
      <c r="AF283" s="858">
        <v>0</v>
      </c>
      <c r="AG283" s="491">
        <v>0</v>
      </c>
      <c r="AH283" s="491">
        <v>0</v>
      </c>
      <c r="AI283" s="491">
        <v>0</v>
      </c>
      <c r="AJ283" s="491">
        <v>0</v>
      </c>
      <c r="AK283" s="491">
        <v>0</v>
      </c>
      <c r="AL283" s="609">
        <f>SUM(AF283:AK283)</f>
        <v>0</v>
      </c>
      <c r="AM283" s="676">
        <f>I283+AE283</f>
        <v>419678</v>
      </c>
      <c r="AN283" s="492">
        <f>J283+V283</f>
        <v>311334</v>
      </c>
      <c r="AO283" s="492">
        <f t="shared" si="501"/>
        <v>0</v>
      </c>
      <c r="AP283" s="492">
        <f t="shared" si="502"/>
        <v>105231</v>
      </c>
      <c r="AQ283" s="492">
        <f t="shared" si="502"/>
        <v>3113</v>
      </c>
      <c r="AR283" s="573">
        <f t="shared" si="502"/>
        <v>0</v>
      </c>
      <c r="AS283" s="609">
        <f>O283+AL283</f>
        <v>0.5</v>
      </c>
    </row>
    <row r="284" spans="1:45" ht="14.1" customHeight="1" x14ac:dyDescent="0.2">
      <c r="A284" s="499">
        <v>71</v>
      </c>
      <c r="B284" s="511">
        <v>2492</v>
      </c>
      <c r="C284" s="512">
        <v>600079767</v>
      </c>
      <c r="D284" s="511">
        <v>70983011</v>
      </c>
      <c r="E284" s="510" t="s">
        <v>738</v>
      </c>
      <c r="F284" s="499">
        <v>3113</v>
      </c>
      <c r="G284" s="513" t="s">
        <v>278</v>
      </c>
      <c r="H284" s="495" t="s">
        <v>263</v>
      </c>
      <c r="I284" s="610">
        <v>2401748</v>
      </c>
      <c r="J284" s="490">
        <v>1781712</v>
      </c>
      <c r="K284" s="490">
        <v>0</v>
      </c>
      <c r="L284" s="14">
        <v>602219</v>
      </c>
      <c r="M284" s="14">
        <v>17817</v>
      </c>
      <c r="N284" s="14">
        <v>0</v>
      </c>
      <c r="O284" s="664">
        <v>4.34</v>
      </c>
      <c r="P284" s="676">
        <f t="shared" si="477"/>
        <v>0</v>
      </c>
      <c r="Q284" s="492">
        <v>22075</v>
      </c>
      <c r="R284" s="492">
        <v>0</v>
      </c>
      <c r="S284" s="492">
        <v>0</v>
      </c>
      <c r="T284" s="492">
        <v>0</v>
      </c>
      <c r="U284" s="492">
        <v>0</v>
      </c>
      <c r="V284" s="492">
        <f>P284+Q284+R284+S284+T284+U284</f>
        <v>22075</v>
      </c>
      <c r="W284" s="492">
        <v>0</v>
      </c>
      <c r="X284" s="492">
        <v>0</v>
      </c>
      <c r="Y284" s="492">
        <v>0</v>
      </c>
      <c r="Z284" s="492">
        <f t="shared" si="497"/>
        <v>0</v>
      </c>
      <c r="AA284" s="492">
        <f t="shared" si="498"/>
        <v>22075</v>
      </c>
      <c r="AB284" s="494">
        <f t="shared" si="499"/>
        <v>7461</v>
      </c>
      <c r="AC284" s="494">
        <f t="shared" si="500"/>
        <v>221</v>
      </c>
      <c r="AD284" s="14">
        <v>0</v>
      </c>
      <c r="AE284" s="753">
        <f t="shared" si="483"/>
        <v>29757</v>
      </c>
      <c r="AF284" s="858">
        <v>0</v>
      </c>
      <c r="AG284" s="491">
        <v>0.04</v>
      </c>
      <c r="AH284" s="491">
        <v>0</v>
      </c>
      <c r="AI284" s="491">
        <v>0</v>
      </c>
      <c r="AJ284" s="491">
        <v>0</v>
      </c>
      <c r="AK284" s="491">
        <v>0</v>
      </c>
      <c r="AL284" s="609">
        <f>SUM(AF284:AK284)</f>
        <v>0.04</v>
      </c>
      <c r="AM284" s="676">
        <f>I284+AE284</f>
        <v>2431505</v>
      </c>
      <c r="AN284" s="492">
        <f>J284+V284</f>
        <v>1803787</v>
      </c>
      <c r="AO284" s="492">
        <f t="shared" si="501"/>
        <v>0</v>
      </c>
      <c r="AP284" s="492">
        <f t="shared" si="502"/>
        <v>609680</v>
      </c>
      <c r="AQ284" s="492">
        <f t="shared" si="502"/>
        <v>18038</v>
      </c>
      <c r="AR284" s="573">
        <f t="shared" si="502"/>
        <v>0</v>
      </c>
      <c r="AS284" s="609">
        <f>O284+AL284</f>
        <v>4.38</v>
      </c>
    </row>
    <row r="285" spans="1:45" ht="14.1" customHeight="1" x14ac:dyDescent="0.2">
      <c r="A285" s="499">
        <v>71</v>
      </c>
      <c r="B285" s="511">
        <v>2492</v>
      </c>
      <c r="C285" s="512">
        <v>600079767</v>
      </c>
      <c r="D285" s="511">
        <v>70983011</v>
      </c>
      <c r="E285" s="510" t="s">
        <v>738</v>
      </c>
      <c r="F285" s="499">
        <v>3143</v>
      </c>
      <c r="G285" s="513" t="s">
        <v>794</v>
      </c>
      <c r="H285" s="495" t="s">
        <v>262</v>
      </c>
      <c r="I285" s="610">
        <v>1821229</v>
      </c>
      <c r="J285" s="14">
        <v>1351060</v>
      </c>
      <c r="K285" s="14">
        <v>0</v>
      </c>
      <c r="L285" s="14">
        <v>456658</v>
      </c>
      <c r="M285" s="14">
        <v>13511</v>
      </c>
      <c r="N285" s="14">
        <v>0</v>
      </c>
      <c r="O285" s="121">
        <v>2.5</v>
      </c>
      <c r="P285" s="676">
        <f t="shared" si="477"/>
        <v>0</v>
      </c>
      <c r="Q285" s="492">
        <v>0</v>
      </c>
      <c r="R285" s="492">
        <v>0</v>
      </c>
      <c r="S285" s="492">
        <v>0</v>
      </c>
      <c r="T285" s="492">
        <v>0</v>
      </c>
      <c r="U285" s="492">
        <v>0</v>
      </c>
      <c r="V285" s="492">
        <f>P285+Q285+R285+S285+T285+U285</f>
        <v>0</v>
      </c>
      <c r="W285" s="492">
        <v>0</v>
      </c>
      <c r="X285" s="492">
        <v>0</v>
      </c>
      <c r="Y285" s="492">
        <v>0</v>
      </c>
      <c r="Z285" s="492">
        <f t="shared" si="497"/>
        <v>0</v>
      </c>
      <c r="AA285" s="492">
        <f t="shared" si="498"/>
        <v>0</v>
      </c>
      <c r="AB285" s="494">
        <f t="shared" si="499"/>
        <v>0</v>
      </c>
      <c r="AC285" s="494">
        <f t="shared" si="500"/>
        <v>0</v>
      </c>
      <c r="AD285" s="14">
        <v>0</v>
      </c>
      <c r="AE285" s="753">
        <f t="shared" si="483"/>
        <v>0</v>
      </c>
      <c r="AF285" s="858">
        <v>0</v>
      </c>
      <c r="AG285" s="491">
        <v>0</v>
      </c>
      <c r="AH285" s="491">
        <v>0</v>
      </c>
      <c r="AI285" s="491">
        <v>0</v>
      </c>
      <c r="AJ285" s="491">
        <v>0</v>
      </c>
      <c r="AK285" s="491">
        <v>0</v>
      </c>
      <c r="AL285" s="609">
        <f>SUM(AF285:AK285)</f>
        <v>0</v>
      </c>
      <c r="AM285" s="676">
        <f>I285+AE285</f>
        <v>1821229</v>
      </c>
      <c r="AN285" s="492">
        <f>J285+V285</f>
        <v>1351060</v>
      </c>
      <c r="AO285" s="492">
        <f t="shared" si="501"/>
        <v>0</v>
      </c>
      <c r="AP285" s="492">
        <f t="shared" si="502"/>
        <v>456658</v>
      </c>
      <c r="AQ285" s="492">
        <f t="shared" si="502"/>
        <v>13511</v>
      </c>
      <c r="AR285" s="573">
        <f t="shared" si="502"/>
        <v>0</v>
      </c>
      <c r="AS285" s="609">
        <f>O285+AL285</f>
        <v>2.5</v>
      </c>
    </row>
    <row r="286" spans="1:45" ht="14.1" customHeight="1" x14ac:dyDescent="0.2">
      <c r="A286" s="499">
        <v>71</v>
      </c>
      <c r="B286" s="511">
        <v>2492</v>
      </c>
      <c r="C286" s="512">
        <v>600079767</v>
      </c>
      <c r="D286" s="511">
        <v>70983011</v>
      </c>
      <c r="E286" s="510" t="s">
        <v>738</v>
      </c>
      <c r="F286" s="499">
        <v>3231</v>
      </c>
      <c r="G286" s="513" t="s">
        <v>281</v>
      </c>
      <c r="H286" s="495" t="s">
        <v>262</v>
      </c>
      <c r="I286" s="610">
        <v>3207324</v>
      </c>
      <c r="J286" s="14">
        <v>2379321</v>
      </c>
      <c r="K286" s="14">
        <v>0</v>
      </c>
      <c r="L286" s="14">
        <v>804210</v>
      </c>
      <c r="M286" s="14">
        <v>23793</v>
      </c>
      <c r="N286" s="14">
        <v>0</v>
      </c>
      <c r="O286" s="664">
        <v>3.5739999999999998</v>
      </c>
      <c r="P286" s="676">
        <f t="shared" si="477"/>
        <v>0</v>
      </c>
      <c r="Q286" s="492">
        <v>0</v>
      </c>
      <c r="R286" s="492">
        <v>0</v>
      </c>
      <c r="S286" s="492">
        <v>0</v>
      </c>
      <c r="T286" s="492">
        <v>0</v>
      </c>
      <c r="U286" s="492">
        <v>0</v>
      </c>
      <c r="V286" s="492">
        <f>P286+Q286+R286+S286+T286+U286</f>
        <v>0</v>
      </c>
      <c r="W286" s="492">
        <v>0</v>
      </c>
      <c r="X286" s="492">
        <v>0</v>
      </c>
      <c r="Y286" s="492">
        <v>0</v>
      </c>
      <c r="Z286" s="492">
        <f t="shared" si="497"/>
        <v>0</v>
      </c>
      <c r="AA286" s="492">
        <f t="shared" si="498"/>
        <v>0</v>
      </c>
      <c r="AB286" s="494">
        <f t="shared" si="499"/>
        <v>0</v>
      </c>
      <c r="AC286" s="494">
        <f t="shared" si="500"/>
        <v>0</v>
      </c>
      <c r="AD286" s="14">
        <v>0</v>
      </c>
      <c r="AE286" s="753">
        <f t="shared" si="483"/>
        <v>0</v>
      </c>
      <c r="AF286" s="858">
        <v>0</v>
      </c>
      <c r="AG286" s="491">
        <v>0</v>
      </c>
      <c r="AH286" s="491">
        <v>0</v>
      </c>
      <c r="AI286" s="491">
        <v>0</v>
      </c>
      <c r="AJ286" s="491">
        <v>0</v>
      </c>
      <c r="AK286" s="491">
        <v>0</v>
      </c>
      <c r="AL286" s="609">
        <f>SUM(AF286:AK286)</f>
        <v>0</v>
      </c>
      <c r="AM286" s="676">
        <f>I286+AE286</f>
        <v>3207324</v>
      </c>
      <c r="AN286" s="492">
        <f>J286+V286</f>
        <v>2379321</v>
      </c>
      <c r="AO286" s="492">
        <f t="shared" si="501"/>
        <v>0</v>
      </c>
      <c r="AP286" s="492">
        <f t="shared" si="502"/>
        <v>804210</v>
      </c>
      <c r="AQ286" s="492">
        <f t="shared" si="502"/>
        <v>23793</v>
      </c>
      <c r="AR286" s="573">
        <f t="shared" si="502"/>
        <v>0</v>
      </c>
      <c r="AS286" s="609">
        <f>O286+AL286</f>
        <v>3.5739999999999998</v>
      </c>
    </row>
    <row r="287" spans="1:45" ht="14.1" customHeight="1" x14ac:dyDescent="0.2">
      <c r="A287" s="509">
        <v>71</v>
      </c>
      <c r="B287" s="507">
        <v>2492</v>
      </c>
      <c r="C287" s="508">
        <v>600079767</v>
      </c>
      <c r="D287" s="507">
        <v>70983011</v>
      </c>
      <c r="E287" s="505" t="s">
        <v>739</v>
      </c>
      <c r="F287" s="509"/>
      <c r="G287" s="505"/>
      <c r="H287" s="504"/>
      <c r="I287" s="612">
        <v>33058901</v>
      </c>
      <c r="J287" s="503">
        <v>24524407</v>
      </c>
      <c r="K287" s="503">
        <v>0</v>
      </c>
      <c r="L287" s="503">
        <v>8289250</v>
      </c>
      <c r="M287" s="503">
        <v>245244</v>
      </c>
      <c r="N287" s="503">
        <v>0</v>
      </c>
      <c r="O287" s="837">
        <v>37.645899999999997</v>
      </c>
      <c r="P287" s="612">
        <f t="shared" ref="P287:AS287" si="507">SUM(P282:P286)</f>
        <v>0</v>
      </c>
      <c r="Q287" s="502">
        <f t="shared" si="507"/>
        <v>22075</v>
      </c>
      <c r="R287" s="502">
        <f t="shared" si="507"/>
        <v>0</v>
      </c>
      <c r="S287" s="502">
        <f t="shared" si="507"/>
        <v>0</v>
      </c>
      <c r="T287" s="502">
        <f t="shared" si="507"/>
        <v>0</v>
      </c>
      <c r="U287" s="502">
        <f t="shared" si="507"/>
        <v>0</v>
      </c>
      <c r="V287" s="502">
        <f t="shared" si="507"/>
        <v>22075</v>
      </c>
      <c r="W287" s="502">
        <f t="shared" si="507"/>
        <v>0</v>
      </c>
      <c r="X287" s="502">
        <f t="shared" si="507"/>
        <v>0</v>
      </c>
      <c r="Y287" s="502">
        <f t="shared" si="507"/>
        <v>0</v>
      </c>
      <c r="Z287" s="502">
        <f t="shared" si="507"/>
        <v>0</v>
      </c>
      <c r="AA287" s="502">
        <f t="shared" si="507"/>
        <v>22075</v>
      </c>
      <c r="AB287" s="502">
        <f t="shared" si="507"/>
        <v>7461</v>
      </c>
      <c r="AC287" s="502">
        <f t="shared" si="507"/>
        <v>221</v>
      </c>
      <c r="AD287" s="502">
        <f t="shared" si="507"/>
        <v>0</v>
      </c>
      <c r="AE287" s="852">
        <f t="shared" si="507"/>
        <v>29757</v>
      </c>
      <c r="AF287" s="857">
        <f t="shared" si="507"/>
        <v>0</v>
      </c>
      <c r="AG287" s="848">
        <f t="shared" si="507"/>
        <v>0.04</v>
      </c>
      <c r="AH287" s="848">
        <f t="shared" si="507"/>
        <v>0</v>
      </c>
      <c r="AI287" s="848">
        <f t="shared" si="507"/>
        <v>0</v>
      </c>
      <c r="AJ287" s="848">
        <f t="shared" si="507"/>
        <v>0</v>
      </c>
      <c r="AK287" s="848">
        <f t="shared" si="507"/>
        <v>0</v>
      </c>
      <c r="AL287" s="613">
        <f t="shared" si="507"/>
        <v>0.04</v>
      </c>
      <c r="AM287" s="612">
        <f t="shared" si="507"/>
        <v>33088658</v>
      </c>
      <c r="AN287" s="502">
        <f t="shared" si="507"/>
        <v>24546482</v>
      </c>
      <c r="AO287" s="549">
        <f t="shared" si="507"/>
        <v>0</v>
      </c>
      <c r="AP287" s="502">
        <f t="shared" si="507"/>
        <v>8296711</v>
      </c>
      <c r="AQ287" s="502">
        <f t="shared" si="507"/>
        <v>245465</v>
      </c>
      <c r="AR287" s="502">
        <f t="shared" si="507"/>
        <v>0</v>
      </c>
      <c r="AS287" s="613">
        <f t="shared" si="507"/>
        <v>37.685899999999997</v>
      </c>
    </row>
    <row r="288" spans="1:45" ht="14.1" customHeight="1" x14ac:dyDescent="0.2">
      <c r="A288" s="499">
        <v>72</v>
      </c>
      <c r="B288" s="511">
        <v>2491</v>
      </c>
      <c r="C288" s="512">
        <v>600079775</v>
      </c>
      <c r="D288" s="511">
        <v>70983003</v>
      </c>
      <c r="E288" s="510" t="s">
        <v>658</v>
      </c>
      <c r="F288" s="499">
        <v>3113</v>
      </c>
      <c r="G288" s="510" t="s">
        <v>280</v>
      </c>
      <c r="H288" s="495" t="s">
        <v>262</v>
      </c>
      <c r="I288" s="610">
        <v>23612369</v>
      </c>
      <c r="J288" s="14">
        <v>17516594</v>
      </c>
      <c r="K288" s="14">
        <v>0</v>
      </c>
      <c r="L288" s="14">
        <v>5920609</v>
      </c>
      <c r="M288" s="14">
        <v>175166</v>
      </c>
      <c r="N288" s="14">
        <v>0</v>
      </c>
      <c r="O288" s="121">
        <v>24.451499999999999</v>
      </c>
      <c r="P288" s="676">
        <f t="shared" si="477"/>
        <v>0</v>
      </c>
      <c r="Q288" s="492">
        <v>0</v>
      </c>
      <c r="R288" s="492">
        <v>0</v>
      </c>
      <c r="S288" s="492">
        <v>0</v>
      </c>
      <c r="T288" s="492">
        <v>0</v>
      </c>
      <c r="U288" s="492">
        <v>0</v>
      </c>
      <c r="V288" s="492">
        <f>P288+Q288+R288+S288+T288+U288</f>
        <v>0</v>
      </c>
      <c r="W288" s="492">
        <v>0</v>
      </c>
      <c r="X288" s="492">
        <v>0</v>
      </c>
      <c r="Y288" s="492">
        <v>0</v>
      </c>
      <c r="Z288" s="492">
        <f t="shared" ref="Z288:Z291" si="508">W288+X288+Y288</f>
        <v>0</v>
      </c>
      <c r="AA288" s="492">
        <f t="shared" ref="AA288:AA291" si="509">V288+Z288</f>
        <v>0</v>
      </c>
      <c r="AB288" s="494">
        <f t="shared" ref="AB288:AB291" si="510">ROUND((V288+Z288)*33.8%,0)</f>
        <v>0</v>
      </c>
      <c r="AC288" s="494">
        <f>ROUND(V288*1%,0)</f>
        <v>0</v>
      </c>
      <c r="AD288" s="14">
        <v>0</v>
      </c>
      <c r="AE288" s="753">
        <f t="shared" si="483"/>
        <v>0</v>
      </c>
      <c r="AF288" s="858">
        <v>0</v>
      </c>
      <c r="AG288" s="491">
        <v>0</v>
      </c>
      <c r="AH288" s="491">
        <v>0</v>
      </c>
      <c r="AI288" s="491">
        <v>0</v>
      </c>
      <c r="AJ288" s="491">
        <v>0</v>
      </c>
      <c r="AK288" s="491">
        <v>0</v>
      </c>
      <c r="AL288" s="609">
        <f>SUM(AF288:AK288)</f>
        <v>0</v>
      </c>
      <c r="AM288" s="676">
        <f>I288+AE288</f>
        <v>23612369</v>
      </c>
      <c r="AN288" s="492">
        <f>J288+V288</f>
        <v>17516594</v>
      </c>
      <c r="AO288" s="492">
        <f t="shared" ref="AO288:AO291" si="511">K288+Z288</f>
        <v>0</v>
      </c>
      <c r="AP288" s="492">
        <f t="shared" ref="AP288:AR291" si="512">L288+AB288</f>
        <v>5920609</v>
      </c>
      <c r="AQ288" s="492">
        <f t="shared" si="512"/>
        <v>175166</v>
      </c>
      <c r="AR288" s="573">
        <f t="shared" si="512"/>
        <v>0</v>
      </c>
      <c r="AS288" s="609">
        <f>O288+AL288</f>
        <v>24.451499999999999</v>
      </c>
    </row>
    <row r="289" spans="1:45" ht="14.1" customHeight="1" x14ac:dyDescent="0.2">
      <c r="A289" s="499">
        <v>72</v>
      </c>
      <c r="B289" s="511">
        <v>2491</v>
      </c>
      <c r="C289" s="512">
        <v>600079775</v>
      </c>
      <c r="D289" s="511">
        <v>70983003</v>
      </c>
      <c r="E289" s="510" t="s">
        <v>658</v>
      </c>
      <c r="F289" s="499">
        <v>3113</v>
      </c>
      <c r="G289" s="510" t="s">
        <v>799</v>
      </c>
      <c r="H289" s="495" t="s">
        <v>262</v>
      </c>
      <c r="I289" s="610">
        <v>359665</v>
      </c>
      <c r="J289" s="14">
        <v>266814</v>
      </c>
      <c r="K289" s="14">
        <v>0</v>
      </c>
      <c r="L289" s="14">
        <v>90183</v>
      </c>
      <c r="M289" s="14">
        <v>2668</v>
      </c>
      <c r="N289" s="14">
        <v>0</v>
      </c>
      <c r="O289" s="121">
        <v>0.5</v>
      </c>
      <c r="P289" s="676">
        <f t="shared" si="477"/>
        <v>0</v>
      </c>
      <c r="Q289" s="492">
        <v>0</v>
      </c>
      <c r="R289" s="492">
        <v>0</v>
      </c>
      <c r="S289" s="492">
        <v>0</v>
      </c>
      <c r="T289" s="492">
        <v>0</v>
      </c>
      <c r="U289" s="492">
        <v>0</v>
      </c>
      <c r="V289" s="492">
        <f>P289+Q289+R289+S289+T289+U289</f>
        <v>0</v>
      </c>
      <c r="W289" s="492">
        <v>0</v>
      </c>
      <c r="X289" s="492">
        <v>0</v>
      </c>
      <c r="Y289" s="492">
        <v>0</v>
      </c>
      <c r="Z289" s="492">
        <f t="shared" ref="Z289" si="513">W289+X289+Y289</f>
        <v>0</v>
      </c>
      <c r="AA289" s="492">
        <f t="shared" ref="AA289" si="514">V289+Z289</f>
        <v>0</v>
      </c>
      <c r="AB289" s="494">
        <f t="shared" ref="AB289" si="515">ROUND((V289+Z289)*33.8%,0)</f>
        <v>0</v>
      </c>
      <c r="AC289" s="494">
        <f>ROUND(V289*1%,0)</f>
        <v>0</v>
      </c>
      <c r="AD289" s="14">
        <v>0</v>
      </c>
      <c r="AE289" s="753">
        <f t="shared" si="483"/>
        <v>0</v>
      </c>
      <c r="AF289" s="858">
        <v>0</v>
      </c>
      <c r="AG289" s="491">
        <v>0</v>
      </c>
      <c r="AH289" s="491">
        <v>0</v>
      </c>
      <c r="AI289" s="491">
        <v>0</v>
      </c>
      <c r="AJ289" s="491">
        <v>0</v>
      </c>
      <c r="AK289" s="491">
        <v>0</v>
      </c>
      <c r="AL289" s="609">
        <f>SUM(AF289:AK289)</f>
        <v>0</v>
      </c>
      <c r="AM289" s="676">
        <f>I289+AE289</f>
        <v>359665</v>
      </c>
      <c r="AN289" s="492">
        <f>J289+V289</f>
        <v>266814</v>
      </c>
      <c r="AO289" s="492">
        <f t="shared" si="511"/>
        <v>0</v>
      </c>
      <c r="AP289" s="492">
        <f t="shared" si="512"/>
        <v>90183</v>
      </c>
      <c r="AQ289" s="492">
        <f t="shared" si="512"/>
        <v>2668</v>
      </c>
      <c r="AR289" s="573">
        <f t="shared" si="512"/>
        <v>0</v>
      </c>
      <c r="AS289" s="609">
        <f>O289+AL289</f>
        <v>0.5</v>
      </c>
    </row>
    <row r="290" spans="1:45" ht="14.1" customHeight="1" x14ac:dyDescent="0.2">
      <c r="A290" s="499">
        <v>72</v>
      </c>
      <c r="B290" s="511">
        <v>2491</v>
      </c>
      <c r="C290" s="512">
        <v>600079775</v>
      </c>
      <c r="D290" s="511">
        <v>70983003</v>
      </c>
      <c r="E290" s="510" t="s">
        <v>658</v>
      </c>
      <c r="F290" s="499">
        <v>3113</v>
      </c>
      <c r="G290" s="513" t="s">
        <v>278</v>
      </c>
      <c r="H290" s="495" t="s">
        <v>263</v>
      </c>
      <c r="I290" s="610">
        <v>3586149</v>
      </c>
      <c r="J290" s="490">
        <v>2660348</v>
      </c>
      <c r="K290" s="490">
        <v>0</v>
      </c>
      <c r="L290" s="14">
        <v>899198</v>
      </c>
      <c r="M290" s="14">
        <v>26603</v>
      </c>
      <c r="N290" s="14">
        <v>0</v>
      </c>
      <c r="O290" s="664">
        <v>6.6300000000000008</v>
      </c>
      <c r="P290" s="676">
        <f t="shared" si="477"/>
        <v>0</v>
      </c>
      <c r="Q290" s="492">
        <v>165353</v>
      </c>
      <c r="R290" s="492">
        <v>0</v>
      </c>
      <c r="S290" s="492">
        <v>0</v>
      </c>
      <c r="T290" s="492">
        <v>0</v>
      </c>
      <c r="U290" s="492">
        <v>0</v>
      </c>
      <c r="V290" s="492">
        <f>P290+Q290+R290+S290+T290+U290</f>
        <v>165353</v>
      </c>
      <c r="W290" s="492">
        <v>0</v>
      </c>
      <c r="X290" s="492">
        <v>0</v>
      </c>
      <c r="Y290" s="492">
        <v>0</v>
      </c>
      <c r="Z290" s="492">
        <f t="shared" si="508"/>
        <v>0</v>
      </c>
      <c r="AA290" s="492">
        <f t="shared" si="509"/>
        <v>165353</v>
      </c>
      <c r="AB290" s="494">
        <f t="shared" si="510"/>
        <v>55889</v>
      </c>
      <c r="AC290" s="494">
        <f>ROUND(V290*1%,0)</f>
        <v>1654</v>
      </c>
      <c r="AD290" s="14">
        <v>0</v>
      </c>
      <c r="AE290" s="753">
        <f t="shared" si="483"/>
        <v>222896</v>
      </c>
      <c r="AF290" s="858">
        <v>0</v>
      </c>
      <c r="AG290" s="491">
        <v>0.42</v>
      </c>
      <c r="AH290" s="491">
        <v>0</v>
      </c>
      <c r="AI290" s="491">
        <v>0</v>
      </c>
      <c r="AJ290" s="491">
        <v>0</v>
      </c>
      <c r="AK290" s="491">
        <v>0</v>
      </c>
      <c r="AL290" s="609">
        <f>SUM(AF290:AK290)</f>
        <v>0.42</v>
      </c>
      <c r="AM290" s="676">
        <f>I290+AE290</f>
        <v>3809045</v>
      </c>
      <c r="AN290" s="492">
        <f>J290+V290</f>
        <v>2825701</v>
      </c>
      <c r="AO290" s="492">
        <f t="shared" si="511"/>
        <v>0</v>
      </c>
      <c r="AP290" s="492">
        <f t="shared" si="512"/>
        <v>955087</v>
      </c>
      <c r="AQ290" s="492">
        <f t="shared" si="512"/>
        <v>28257</v>
      </c>
      <c r="AR290" s="573">
        <f t="shared" si="512"/>
        <v>0</v>
      </c>
      <c r="AS290" s="609">
        <f>O290+AL290</f>
        <v>7.0500000000000007</v>
      </c>
    </row>
    <row r="291" spans="1:45" ht="14.1" customHeight="1" x14ac:dyDescent="0.2">
      <c r="A291" s="499">
        <v>72</v>
      </c>
      <c r="B291" s="511">
        <v>2491</v>
      </c>
      <c r="C291" s="512">
        <v>600079775</v>
      </c>
      <c r="D291" s="511">
        <v>70983003</v>
      </c>
      <c r="E291" s="510" t="s">
        <v>658</v>
      </c>
      <c r="F291" s="499">
        <v>3143</v>
      </c>
      <c r="G291" s="513" t="s">
        <v>794</v>
      </c>
      <c r="H291" s="495" t="s">
        <v>262</v>
      </c>
      <c r="I291" s="610">
        <v>2537167</v>
      </c>
      <c r="J291" s="14">
        <v>1882171</v>
      </c>
      <c r="K291" s="14">
        <v>0</v>
      </c>
      <c r="L291" s="14">
        <v>636174</v>
      </c>
      <c r="M291" s="14">
        <v>18822</v>
      </c>
      <c r="N291" s="14">
        <v>0</v>
      </c>
      <c r="O291" s="121">
        <v>3.5714000000000001</v>
      </c>
      <c r="P291" s="676">
        <f t="shared" si="477"/>
        <v>0</v>
      </c>
      <c r="Q291" s="492">
        <v>0</v>
      </c>
      <c r="R291" s="492">
        <v>0</v>
      </c>
      <c r="S291" s="492">
        <v>0</v>
      </c>
      <c r="T291" s="492">
        <v>0</v>
      </c>
      <c r="U291" s="492">
        <v>0</v>
      </c>
      <c r="V291" s="492">
        <f>P291+Q291+R291+S291+T291+U291</f>
        <v>0</v>
      </c>
      <c r="W291" s="492">
        <v>0</v>
      </c>
      <c r="X291" s="492">
        <v>0</v>
      </c>
      <c r="Y291" s="492">
        <v>0</v>
      </c>
      <c r="Z291" s="492">
        <f t="shared" si="508"/>
        <v>0</v>
      </c>
      <c r="AA291" s="492">
        <f t="shared" si="509"/>
        <v>0</v>
      </c>
      <c r="AB291" s="494">
        <f t="shared" si="510"/>
        <v>0</v>
      </c>
      <c r="AC291" s="494">
        <f>ROUND(V291*1%,0)</f>
        <v>0</v>
      </c>
      <c r="AD291" s="14">
        <v>0</v>
      </c>
      <c r="AE291" s="753">
        <f t="shared" si="483"/>
        <v>0</v>
      </c>
      <c r="AF291" s="858">
        <v>0</v>
      </c>
      <c r="AG291" s="491">
        <v>0</v>
      </c>
      <c r="AH291" s="491">
        <v>0</v>
      </c>
      <c r="AI291" s="491">
        <v>0</v>
      </c>
      <c r="AJ291" s="491">
        <v>0</v>
      </c>
      <c r="AK291" s="491">
        <v>0</v>
      </c>
      <c r="AL291" s="609">
        <f>SUM(AF291:AK291)</f>
        <v>0</v>
      </c>
      <c r="AM291" s="676">
        <f>I291+AE291</f>
        <v>2537167</v>
      </c>
      <c r="AN291" s="492">
        <f>J291+V291</f>
        <v>1882171</v>
      </c>
      <c r="AO291" s="492">
        <f t="shared" si="511"/>
        <v>0</v>
      </c>
      <c r="AP291" s="492">
        <f t="shared" si="512"/>
        <v>636174</v>
      </c>
      <c r="AQ291" s="492">
        <f t="shared" si="512"/>
        <v>18822</v>
      </c>
      <c r="AR291" s="573">
        <f t="shared" si="512"/>
        <v>0</v>
      </c>
      <c r="AS291" s="609">
        <f>O291+AL291</f>
        <v>3.5714000000000001</v>
      </c>
    </row>
    <row r="292" spans="1:45" ht="14.1" customHeight="1" x14ac:dyDescent="0.2">
      <c r="A292" s="509">
        <v>72</v>
      </c>
      <c r="B292" s="507">
        <v>2491</v>
      </c>
      <c r="C292" s="508">
        <v>600079775</v>
      </c>
      <c r="D292" s="507">
        <v>70983003</v>
      </c>
      <c r="E292" s="505" t="s">
        <v>659</v>
      </c>
      <c r="F292" s="509"/>
      <c r="G292" s="505"/>
      <c r="H292" s="504"/>
      <c r="I292" s="612">
        <v>30095350</v>
      </c>
      <c r="J292" s="503">
        <v>22325927</v>
      </c>
      <c r="K292" s="503">
        <v>0</v>
      </c>
      <c r="L292" s="503">
        <v>7546164</v>
      </c>
      <c r="M292" s="503">
        <v>223259</v>
      </c>
      <c r="N292" s="503">
        <v>0</v>
      </c>
      <c r="O292" s="837">
        <v>35.152899999999995</v>
      </c>
      <c r="P292" s="612">
        <f t="shared" ref="P292:AS292" si="516">SUM(P288:P291)</f>
        <v>0</v>
      </c>
      <c r="Q292" s="502">
        <f t="shared" si="516"/>
        <v>165353</v>
      </c>
      <c r="R292" s="502">
        <f t="shared" si="516"/>
        <v>0</v>
      </c>
      <c r="S292" s="502">
        <f t="shared" si="516"/>
        <v>0</v>
      </c>
      <c r="T292" s="502">
        <f t="shared" si="516"/>
        <v>0</v>
      </c>
      <c r="U292" s="502">
        <f t="shared" si="516"/>
        <v>0</v>
      </c>
      <c r="V292" s="502">
        <f t="shared" si="516"/>
        <v>165353</v>
      </c>
      <c r="W292" s="502">
        <f t="shared" si="516"/>
        <v>0</v>
      </c>
      <c r="X292" s="502">
        <f t="shared" si="516"/>
        <v>0</v>
      </c>
      <c r="Y292" s="502">
        <f t="shared" si="516"/>
        <v>0</v>
      </c>
      <c r="Z292" s="502">
        <f t="shared" si="516"/>
        <v>0</v>
      </c>
      <c r="AA292" s="502">
        <f t="shared" si="516"/>
        <v>165353</v>
      </c>
      <c r="AB292" s="502">
        <f t="shared" si="516"/>
        <v>55889</v>
      </c>
      <c r="AC292" s="502">
        <f t="shared" si="516"/>
        <v>1654</v>
      </c>
      <c r="AD292" s="502">
        <f t="shared" si="516"/>
        <v>0</v>
      </c>
      <c r="AE292" s="852">
        <f t="shared" si="516"/>
        <v>222896</v>
      </c>
      <c r="AF292" s="857">
        <f t="shared" si="516"/>
        <v>0</v>
      </c>
      <c r="AG292" s="848">
        <f t="shared" si="516"/>
        <v>0.42</v>
      </c>
      <c r="AH292" s="848">
        <f t="shared" si="516"/>
        <v>0</v>
      </c>
      <c r="AI292" s="848">
        <f t="shared" si="516"/>
        <v>0</v>
      </c>
      <c r="AJ292" s="848">
        <f t="shared" si="516"/>
        <v>0</v>
      </c>
      <c r="AK292" s="848">
        <f t="shared" si="516"/>
        <v>0</v>
      </c>
      <c r="AL292" s="613">
        <f t="shared" si="516"/>
        <v>0.42</v>
      </c>
      <c r="AM292" s="612">
        <f t="shared" si="516"/>
        <v>30318246</v>
      </c>
      <c r="AN292" s="502">
        <f t="shared" si="516"/>
        <v>22491280</v>
      </c>
      <c r="AO292" s="549">
        <f t="shared" si="516"/>
        <v>0</v>
      </c>
      <c r="AP292" s="502">
        <f t="shared" si="516"/>
        <v>7602053</v>
      </c>
      <c r="AQ292" s="502">
        <f t="shared" si="516"/>
        <v>224913</v>
      </c>
      <c r="AR292" s="502">
        <f t="shared" si="516"/>
        <v>0</v>
      </c>
      <c r="AS292" s="613">
        <f t="shared" si="516"/>
        <v>35.572899999999997</v>
      </c>
    </row>
    <row r="293" spans="1:45" ht="14.1" customHeight="1" x14ac:dyDescent="0.2">
      <c r="A293" s="499">
        <v>73</v>
      </c>
      <c r="B293" s="511">
        <v>2459</v>
      </c>
      <c r="C293" s="512">
        <v>650030583</v>
      </c>
      <c r="D293" s="511">
        <v>72744707</v>
      </c>
      <c r="E293" s="510" t="s">
        <v>660</v>
      </c>
      <c r="F293" s="499">
        <v>3111</v>
      </c>
      <c r="G293" s="510" t="s">
        <v>277</v>
      </c>
      <c r="H293" s="495" t="s">
        <v>262</v>
      </c>
      <c r="I293" s="610">
        <v>3303976</v>
      </c>
      <c r="J293" s="14">
        <v>2451021</v>
      </c>
      <c r="K293" s="14">
        <v>0</v>
      </c>
      <c r="L293" s="14">
        <v>828445</v>
      </c>
      <c r="M293" s="14">
        <v>24510</v>
      </c>
      <c r="N293" s="14">
        <v>0</v>
      </c>
      <c r="O293" s="121">
        <v>4</v>
      </c>
      <c r="P293" s="676">
        <f t="shared" si="477"/>
        <v>0</v>
      </c>
      <c r="Q293" s="492">
        <v>0</v>
      </c>
      <c r="R293" s="492">
        <v>0</v>
      </c>
      <c r="S293" s="492">
        <v>0</v>
      </c>
      <c r="T293" s="492">
        <v>0</v>
      </c>
      <c r="U293" s="492">
        <v>0</v>
      </c>
      <c r="V293" s="492">
        <f>P293+Q293+R293+S293+T293+U293</f>
        <v>0</v>
      </c>
      <c r="W293" s="492">
        <v>0</v>
      </c>
      <c r="X293" s="492">
        <v>0</v>
      </c>
      <c r="Y293" s="492">
        <v>0</v>
      </c>
      <c r="Z293" s="492">
        <f t="shared" ref="Z293:Z296" si="517">W293+X293+Y293</f>
        <v>0</v>
      </c>
      <c r="AA293" s="492">
        <f t="shared" ref="AA293:AA296" si="518">V293+Z293</f>
        <v>0</v>
      </c>
      <c r="AB293" s="494">
        <f t="shared" ref="AB293:AB296" si="519">ROUND((V293+Z293)*33.8%,0)</f>
        <v>0</v>
      </c>
      <c r="AC293" s="494">
        <f t="shared" ref="AC293:AC296" si="520">ROUND(V293*1%,0)</f>
        <v>0</v>
      </c>
      <c r="AD293" s="14">
        <v>0</v>
      </c>
      <c r="AE293" s="753">
        <f t="shared" si="483"/>
        <v>0</v>
      </c>
      <c r="AF293" s="858">
        <v>0</v>
      </c>
      <c r="AG293" s="491">
        <v>0</v>
      </c>
      <c r="AH293" s="491">
        <v>0</v>
      </c>
      <c r="AI293" s="491">
        <v>0</v>
      </c>
      <c r="AJ293" s="491">
        <v>0</v>
      </c>
      <c r="AK293" s="491">
        <v>0</v>
      </c>
      <c r="AL293" s="609">
        <f>SUM(AF293:AK293)</f>
        <v>0</v>
      </c>
      <c r="AM293" s="676">
        <f>I293+AE293</f>
        <v>3303976</v>
      </c>
      <c r="AN293" s="492">
        <f>J293+V293</f>
        <v>2451021</v>
      </c>
      <c r="AO293" s="492">
        <f t="shared" ref="AO293:AO296" si="521">K293+Z293</f>
        <v>0</v>
      </c>
      <c r="AP293" s="492">
        <f t="shared" ref="AP293:AR296" si="522">L293+AB293</f>
        <v>828445</v>
      </c>
      <c r="AQ293" s="492">
        <f t="shared" si="522"/>
        <v>24510</v>
      </c>
      <c r="AR293" s="573">
        <f t="shared" si="522"/>
        <v>0</v>
      </c>
      <c r="AS293" s="609">
        <f>O293+AL293</f>
        <v>4</v>
      </c>
    </row>
    <row r="294" spans="1:45" ht="14.1" customHeight="1" x14ac:dyDescent="0.2">
      <c r="A294" s="499">
        <v>73</v>
      </c>
      <c r="B294" s="511">
        <v>2459</v>
      </c>
      <c r="C294" s="512">
        <v>650030583</v>
      </c>
      <c r="D294" s="511">
        <v>72744707</v>
      </c>
      <c r="E294" s="510" t="s">
        <v>660</v>
      </c>
      <c r="F294" s="499">
        <v>3117</v>
      </c>
      <c r="G294" s="510" t="s">
        <v>280</v>
      </c>
      <c r="H294" s="495" t="s">
        <v>262</v>
      </c>
      <c r="I294" s="610">
        <v>4941306</v>
      </c>
      <c r="J294" s="14">
        <v>3665657</v>
      </c>
      <c r="K294" s="14">
        <v>0</v>
      </c>
      <c r="L294" s="14">
        <v>1238992</v>
      </c>
      <c r="M294" s="14">
        <v>36657</v>
      </c>
      <c r="N294" s="14">
        <v>0</v>
      </c>
      <c r="O294" s="121">
        <v>5</v>
      </c>
      <c r="P294" s="676">
        <f t="shared" si="477"/>
        <v>0</v>
      </c>
      <c r="Q294" s="492">
        <v>0</v>
      </c>
      <c r="R294" s="492">
        <v>0</v>
      </c>
      <c r="S294" s="492">
        <v>0</v>
      </c>
      <c r="T294" s="492">
        <v>0</v>
      </c>
      <c r="U294" s="492">
        <v>0</v>
      </c>
      <c r="V294" s="492">
        <f>P294+Q294+R294+S294+T294+U294</f>
        <v>0</v>
      </c>
      <c r="W294" s="492">
        <v>0</v>
      </c>
      <c r="X294" s="492">
        <v>0</v>
      </c>
      <c r="Y294" s="492">
        <v>0</v>
      </c>
      <c r="Z294" s="492">
        <f t="shared" si="517"/>
        <v>0</v>
      </c>
      <c r="AA294" s="492">
        <f t="shared" si="518"/>
        <v>0</v>
      </c>
      <c r="AB294" s="494">
        <f t="shared" si="519"/>
        <v>0</v>
      </c>
      <c r="AC294" s="494">
        <f t="shared" si="520"/>
        <v>0</v>
      </c>
      <c r="AD294" s="14">
        <v>0</v>
      </c>
      <c r="AE294" s="753">
        <f t="shared" si="483"/>
        <v>0</v>
      </c>
      <c r="AF294" s="858">
        <v>0</v>
      </c>
      <c r="AG294" s="491">
        <v>0</v>
      </c>
      <c r="AH294" s="491">
        <v>0</v>
      </c>
      <c r="AI294" s="491">
        <v>0</v>
      </c>
      <c r="AJ294" s="491">
        <v>0</v>
      </c>
      <c r="AK294" s="491">
        <v>0</v>
      </c>
      <c r="AL294" s="609">
        <f>SUM(AF294:AK294)</f>
        <v>0</v>
      </c>
      <c r="AM294" s="676">
        <f>I294+AE294</f>
        <v>4941306</v>
      </c>
      <c r="AN294" s="492">
        <f>J294+V294</f>
        <v>3665657</v>
      </c>
      <c r="AO294" s="492">
        <f t="shared" si="521"/>
        <v>0</v>
      </c>
      <c r="AP294" s="492">
        <f t="shared" si="522"/>
        <v>1238992</v>
      </c>
      <c r="AQ294" s="492">
        <f t="shared" si="522"/>
        <v>36657</v>
      </c>
      <c r="AR294" s="573">
        <f t="shared" si="522"/>
        <v>0</v>
      </c>
      <c r="AS294" s="609">
        <f>O294+AL294</f>
        <v>5</v>
      </c>
    </row>
    <row r="295" spans="1:45" ht="14.1" customHeight="1" x14ac:dyDescent="0.2">
      <c r="A295" s="499">
        <v>73</v>
      </c>
      <c r="B295" s="511">
        <v>2459</v>
      </c>
      <c r="C295" s="512">
        <v>650030583</v>
      </c>
      <c r="D295" s="511">
        <v>72744707</v>
      </c>
      <c r="E295" s="510" t="s">
        <v>660</v>
      </c>
      <c r="F295" s="499">
        <v>3117</v>
      </c>
      <c r="G295" s="513" t="s">
        <v>278</v>
      </c>
      <c r="H295" s="495" t="s">
        <v>263</v>
      </c>
      <c r="I295" s="610">
        <v>811523</v>
      </c>
      <c r="J295" s="490">
        <v>602020</v>
      </c>
      <c r="K295" s="490">
        <v>0</v>
      </c>
      <c r="L295" s="14">
        <v>203483</v>
      </c>
      <c r="M295" s="14">
        <v>6020</v>
      </c>
      <c r="N295" s="14">
        <v>0</v>
      </c>
      <c r="O295" s="664">
        <v>1.45</v>
      </c>
      <c r="P295" s="676">
        <f t="shared" si="477"/>
        <v>0</v>
      </c>
      <c r="Q295" s="492">
        <v>19868</v>
      </c>
      <c r="R295" s="492">
        <v>0</v>
      </c>
      <c r="S295" s="492">
        <v>0</v>
      </c>
      <c r="T295" s="492">
        <v>0</v>
      </c>
      <c r="U295" s="492">
        <v>0</v>
      </c>
      <c r="V295" s="492">
        <f>P295+Q295+R295+S295+T295+U295</f>
        <v>19868</v>
      </c>
      <c r="W295" s="492">
        <v>0</v>
      </c>
      <c r="X295" s="492">
        <v>0</v>
      </c>
      <c r="Y295" s="492">
        <v>0</v>
      </c>
      <c r="Z295" s="492">
        <f t="shared" si="517"/>
        <v>0</v>
      </c>
      <c r="AA295" s="492">
        <f t="shared" si="518"/>
        <v>19868</v>
      </c>
      <c r="AB295" s="494">
        <f t="shared" si="519"/>
        <v>6715</v>
      </c>
      <c r="AC295" s="494">
        <f t="shared" si="520"/>
        <v>199</v>
      </c>
      <c r="AD295" s="14">
        <v>0</v>
      </c>
      <c r="AE295" s="753">
        <f t="shared" si="483"/>
        <v>26782</v>
      </c>
      <c r="AF295" s="858">
        <v>0</v>
      </c>
      <c r="AG295" s="491">
        <v>0.04</v>
      </c>
      <c r="AH295" s="491">
        <v>0</v>
      </c>
      <c r="AI295" s="491">
        <v>0</v>
      </c>
      <c r="AJ295" s="491">
        <v>0</v>
      </c>
      <c r="AK295" s="491">
        <v>0</v>
      </c>
      <c r="AL295" s="609">
        <f>SUM(AF295:AK295)</f>
        <v>0.04</v>
      </c>
      <c r="AM295" s="676">
        <f>I295+AE295</f>
        <v>838305</v>
      </c>
      <c r="AN295" s="492">
        <f>J295+V295</f>
        <v>621888</v>
      </c>
      <c r="AO295" s="492">
        <f t="shared" si="521"/>
        <v>0</v>
      </c>
      <c r="AP295" s="492">
        <f t="shared" si="522"/>
        <v>210198</v>
      </c>
      <c r="AQ295" s="492">
        <f t="shared" si="522"/>
        <v>6219</v>
      </c>
      <c r="AR295" s="573">
        <f t="shared" si="522"/>
        <v>0</v>
      </c>
      <c r="AS295" s="609">
        <f>O295+AL295</f>
        <v>1.49</v>
      </c>
    </row>
    <row r="296" spans="1:45" ht="14.1" customHeight="1" x14ac:dyDescent="0.2">
      <c r="A296" s="499">
        <v>73</v>
      </c>
      <c r="B296" s="511">
        <v>2459</v>
      </c>
      <c r="C296" s="512">
        <v>650030583</v>
      </c>
      <c r="D296" s="511">
        <v>72744707</v>
      </c>
      <c r="E296" s="510" t="s">
        <v>660</v>
      </c>
      <c r="F296" s="499">
        <v>3143</v>
      </c>
      <c r="G296" s="513" t="s">
        <v>794</v>
      </c>
      <c r="H296" s="495" t="s">
        <v>262</v>
      </c>
      <c r="I296" s="610">
        <v>491860</v>
      </c>
      <c r="J296" s="14">
        <v>364881</v>
      </c>
      <c r="K296" s="14">
        <v>0</v>
      </c>
      <c r="L296" s="14">
        <v>123330</v>
      </c>
      <c r="M296" s="14">
        <v>3649</v>
      </c>
      <c r="N296" s="14">
        <v>0</v>
      </c>
      <c r="O296" s="121">
        <v>0.6875</v>
      </c>
      <c r="P296" s="676">
        <f t="shared" si="477"/>
        <v>0</v>
      </c>
      <c r="Q296" s="492">
        <v>0</v>
      </c>
      <c r="R296" s="492">
        <v>0</v>
      </c>
      <c r="S296" s="492">
        <v>0</v>
      </c>
      <c r="T296" s="492">
        <v>0</v>
      </c>
      <c r="U296" s="492">
        <v>0</v>
      </c>
      <c r="V296" s="492">
        <f>P296+Q296+R296+S296+T296+U296</f>
        <v>0</v>
      </c>
      <c r="W296" s="492">
        <v>0</v>
      </c>
      <c r="X296" s="492">
        <v>0</v>
      </c>
      <c r="Y296" s="492">
        <v>0</v>
      </c>
      <c r="Z296" s="492">
        <f t="shared" si="517"/>
        <v>0</v>
      </c>
      <c r="AA296" s="492">
        <f t="shared" si="518"/>
        <v>0</v>
      </c>
      <c r="AB296" s="494">
        <f t="shared" si="519"/>
        <v>0</v>
      </c>
      <c r="AC296" s="494">
        <f t="shared" si="520"/>
        <v>0</v>
      </c>
      <c r="AD296" s="14">
        <v>0</v>
      </c>
      <c r="AE296" s="753">
        <f t="shared" si="483"/>
        <v>0</v>
      </c>
      <c r="AF296" s="858">
        <v>0</v>
      </c>
      <c r="AG296" s="491">
        <v>0</v>
      </c>
      <c r="AH296" s="491">
        <v>0</v>
      </c>
      <c r="AI296" s="491">
        <v>0</v>
      </c>
      <c r="AJ296" s="491">
        <v>0</v>
      </c>
      <c r="AK296" s="491">
        <v>0</v>
      </c>
      <c r="AL296" s="609">
        <f>SUM(AF296:AK296)</f>
        <v>0</v>
      </c>
      <c r="AM296" s="676">
        <f>I296+AE296</f>
        <v>491860</v>
      </c>
      <c r="AN296" s="492">
        <f>J296+V296</f>
        <v>364881</v>
      </c>
      <c r="AO296" s="492">
        <f t="shared" si="521"/>
        <v>0</v>
      </c>
      <c r="AP296" s="492">
        <f t="shared" si="522"/>
        <v>123330</v>
      </c>
      <c r="AQ296" s="492">
        <f t="shared" si="522"/>
        <v>3649</v>
      </c>
      <c r="AR296" s="573">
        <f t="shared" si="522"/>
        <v>0</v>
      </c>
      <c r="AS296" s="609">
        <f>O296+AL296</f>
        <v>0.6875</v>
      </c>
    </row>
    <row r="297" spans="1:45" ht="14.1" customHeight="1" x14ac:dyDescent="0.2">
      <c r="A297" s="509">
        <v>73</v>
      </c>
      <c r="B297" s="507">
        <v>2459</v>
      </c>
      <c r="C297" s="508">
        <v>650030583</v>
      </c>
      <c r="D297" s="507">
        <v>72744707</v>
      </c>
      <c r="E297" s="505" t="s">
        <v>661</v>
      </c>
      <c r="F297" s="509"/>
      <c r="G297" s="505"/>
      <c r="H297" s="504"/>
      <c r="I297" s="612">
        <v>9548665</v>
      </c>
      <c r="J297" s="503">
        <v>7083579</v>
      </c>
      <c r="K297" s="503">
        <v>0</v>
      </c>
      <c r="L297" s="503">
        <v>2394250</v>
      </c>
      <c r="M297" s="503">
        <v>70836</v>
      </c>
      <c r="N297" s="503">
        <v>0</v>
      </c>
      <c r="O297" s="837">
        <v>11.137499999999999</v>
      </c>
      <c r="P297" s="612">
        <f t="shared" ref="P297:AS297" si="523">SUM(P293:P296)</f>
        <v>0</v>
      </c>
      <c r="Q297" s="502">
        <f t="shared" si="523"/>
        <v>19868</v>
      </c>
      <c r="R297" s="502">
        <f t="shared" si="523"/>
        <v>0</v>
      </c>
      <c r="S297" s="502">
        <f t="shared" si="523"/>
        <v>0</v>
      </c>
      <c r="T297" s="502">
        <f t="shared" si="523"/>
        <v>0</v>
      </c>
      <c r="U297" s="502">
        <f t="shared" si="523"/>
        <v>0</v>
      </c>
      <c r="V297" s="502">
        <f t="shared" si="523"/>
        <v>19868</v>
      </c>
      <c r="W297" s="502">
        <f t="shared" si="523"/>
        <v>0</v>
      </c>
      <c r="X297" s="502">
        <f t="shared" si="523"/>
        <v>0</v>
      </c>
      <c r="Y297" s="502">
        <f t="shared" si="523"/>
        <v>0</v>
      </c>
      <c r="Z297" s="502">
        <f t="shared" si="523"/>
        <v>0</v>
      </c>
      <c r="AA297" s="502">
        <f t="shared" si="523"/>
        <v>19868</v>
      </c>
      <c r="AB297" s="502">
        <f t="shared" si="523"/>
        <v>6715</v>
      </c>
      <c r="AC297" s="502">
        <f t="shared" si="523"/>
        <v>199</v>
      </c>
      <c r="AD297" s="502">
        <f t="shared" si="523"/>
        <v>0</v>
      </c>
      <c r="AE297" s="852">
        <f t="shared" si="523"/>
        <v>26782</v>
      </c>
      <c r="AF297" s="857">
        <f t="shared" si="523"/>
        <v>0</v>
      </c>
      <c r="AG297" s="848">
        <f t="shared" si="523"/>
        <v>0.04</v>
      </c>
      <c r="AH297" s="848">
        <f t="shared" si="523"/>
        <v>0</v>
      </c>
      <c r="AI297" s="848">
        <f t="shared" si="523"/>
        <v>0</v>
      </c>
      <c r="AJ297" s="848">
        <f t="shared" si="523"/>
        <v>0</v>
      </c>
      <c r="AK297" s="848">
        <f t="shared" si="523"/>
        <v>0</v>
      </c>
      <c r="AL297" s="613">
        <f t="shared" si="523"/>
        <v>0.04</v>
      </c>
      <c r="AM297" s="612">
        <f t="shared" si="523"/>
        <v>9575447</v>
      </c>
      <c r="AN297" s="502">
        <f t="shared" si="523"/>
        <v>7103447</v>
      </c>
      <c r="AO297" s="549">
        <f t="shared" si="523"/>
        <v>0</v>
      </c>
      <c r="AP297" s="502">
        <f t="shared" si="523"/>
        <v>2400965</v>
      </c>
      <c r="AQ297" s="502">
        <f t="shared" si="523"/>
        <v>71035</v>
      </c>
      <c r="AR297" s="502">
        <f t="shared" si="523"/>
        <v>0</v>
      </c>
      <c r="AS297" s="613">
        <f t="shared" si="523"/>
        <v>11.1775</v>
      </c>
    </row>
    <row r="298" spans="1:45" ht="14.1" customHeight="1" x14ac:dyDescent="0.2">
      <c r="A298" s="499">
        <v>74</v>
      </c>
      <c r="B298" s="511">
        <v>2405</v>
      </c>
      <c r="C298" s="512">
        <v>600079023</v>
      </c>
      <c r="D298" s="511">
        <v>72741881</v>
      </c>
      <c r="E298" s="510" t="s">
        <v>662</v>
      </c>
      <c r="F298" s="499">
        <v>3111</v>
      </c>
      <c r="G298" s="510" t="s">
        <v>277</v>
      </c>
      <c r="H298" s="495" t="s">
        <v>262</v>
      </c>
      <c r="I298" s="610">
        <v>13477863</v>
      </c>
      <c r="J298" s="14">
        <v>9998415</v>
      </c>
      <c r="K298" s="14">
        <v>0</v>
      </c>
      <c r="L298" s="14">
        <v>3379464</v>
      </c>
      <c r="M298" s="14">
        <v>99984</v>
      </c>
      <c r="N298" s="14">
        <v>0</v>
      </c>
      <c r="O298" s="121">
        <v>16.433499999999999</v>
      </c>
      <c r="P298" s="676">
        <f t="shared" si="477"/>
        <v>0</v>
      </c>
      <c r="Q298" s="492">
        <v>0</v>
      </c>
      <c r="R298" s="492">
        <v>0</v>
      </c>
      <c r="S298" s="492">
        <v>0</v>
      </c>
      <c r="T298" s="492">
        <v>0</v>
      </c>
      <c r="U298" s="492">
        <v>0</v>
      </c>
      <c r="V298" s="492">
        <f>P298+Q298+R298+S298+T298+U298</f>
        <v>0</v>
      </c>
      <c r="W298" s="492">
        <v>0</v>
      </c>
      <c r="X298" s="492">
        <v>0</v>
      </c>
      <c r="Y298" s="492">
        <v>0</v>
      </c>
      <c r="Z298" s="492">
        <f t="shared" ref="Z298:Z299" si="524">W298+X298+Y298</f>
        <v>0</v>
      </c>
      <c r="AA298" s="492">
        <f t="shared" ref="AA298:AA299" si="525">V298+Z298</f>
        <v>0</v>
      </c>
      <c r="AB298" s="494">
        <f t="shared" ref="AB298:AB299" si="526">ROUND((V298+Z298)*33.8%,0)</f>
        <v>0</v>
      </c>
      <c r="AC298" s="494">
        <f>ROUND(V298*1%,0)</f>
        <v>0</v>
      </c>
      <c r="AD298" s="14">
        <v>0</v>
      </c>
      <c r="AE298" s="753">
        <f t="shared" si="483"/>
        <v>0</v>
      </c>
      <c r="AF298" s="858">
        <v>0</v>
      </c>
      <c r="AG298" s="491">
        <v>0</v>
      </c>
      <c r="AH298" s="491">
        <v>0</v>
      </c>
      <c r="AI298" s="491">
        <v>0</v>
      </c>
      <c r="AJ298" s="491">
        <v>0</v>
      </c>
      <c r="AK298" s="491">
        <v>0</v>
      </c>
      <c r="AL298" s="609">
        <f>SUM(AF298:AK298)</f>
        <v>0</v>
      </c>
      <c r="AM298" s="676">
        <f>I298+AE298</f>
        <v>13477863</v>
      </c>
      <c r="AN298" s="492">
        <f>J298+V298</f>
        <v>9998415</v>
      </c>
      <c r="AO298" s="492">
        <f t="shared" ref="AO298:AO299" si="527">K298+Z298</f>
        <v>0</v>
      </c>
      <c r="AP298" s="492">
        <f t="shared" ref="AP298:AR299" si="528">L298+AB298</f>
        <v>3379464</v>
      </c>
      <c r="AQ298" s="492">
        <f t="shared" si="528"/>
        <v>99984</v>
      </c>
      <c r="AR298" s="573">
        <f t="shared" si="528"/>
        <v>0</v>
      </c>
      <c r="AS298" s="609">
        <f>O298+AL298</f>
        <v>16.433499999999999</v>
      </c>
    </row>
    <row r="299" spans="1:45" ht="14.1" customHeight="1" x14ac:dyDescent="0.2">
      <c r="A299" s="499">
        <v>74</v>
      </c>
      <c r="B299" s="511">
        <v>2405</v>
      </c>
      <c r="C299" s="512">
        <v>600079023</v>
      </c>
      <c r="D299" s="511">
        <v>72741881</v>
      </c>
      <c r="E299" s="510" t="s">
        <v>662</v>
      </c>
      <c r="F299" s="499">
        <v>3111</v>
      </c>
      <c r="G299" s="513" t="s">
        <v>278</v>
      </c>
      <c r="H299" s="495" t="s">
        <v>263</v>
      </c>
      <c r="I299" s="610">
        <v>1218509</v>
      </c>
      <c r="J299" s="490">
        <v>903939</v>
      </c>
      <c r="K299" s="490">
        <v>0</v>
      </c>
      <c r="L299" s="14">
        <v>305531</v>
      </c>
      <c r="M299" s="14">
        <v>9039</v>
      </c>
      <c r="N299" s="14">
        <v>0</v>
      </c>
      <c r="O299" s="664">
        <v>2.2800000000000002</v>
      </c>
      <c r="P299" s="676">
        <f t="shared" si="477"/>
        <v>0</v>
      </c>
      <c r="Q299" s="492">
        <v>0</v>
      </c>
      <c r="R299" s="492">
        <v>0</v>
      </c>
      <c r="S299" s="492">
        <v>0</v>
      </c>
      <c r="T299" s="492">
        <v>0</v>
      </c>
      <c r="U299" s="492">
        <v>0</v>
      </c>
      <c r="V299" s="492">
        <f>P299+Q299+R299+S299+T299+U299</f>
        <v>0</v>
      </c>
      <c r="W299" s="492">
        <v>0</v>
      </c>
      <c r="X299" s="492">
        <v>0</v>
      </c>
      <c r="Y299" s="492">
        <v>0</v>
      </c>
      <c r="Z299" s="492">
        <f t="shared" si="524"/>
        <v>0</v>
      </c>
      <c r="AA299" s="492">
        <f t="shared" si="525"/>
        <v>0</v>
      </c>
      <c r="AB299" s="494">
        <f t="shared" si="526"/>
        <v>0</v>
      </c>
      <c r="AC299" s="494">
        <f>ROUND(V299*1%,0)</f>
        <v>0</v>
      </c>
      <c r="AD299" s="14">
        <v>0</v>
      </c>
      <c r="AE299" s="753">
        <f t="shared" si="483"/>
        <v>0</v>
      </c>
      <c r="AF299" s="858">
        <v>0</v>
      </c>
      <c r="AG299" s="491">
        <v>0</v>
      </c>
      <c r="AH299" s="491">
        <v>0</v>
      </c>
      <c r="AI299" s="491">
        <v>0</v>
      </c>
      <c r="AJ299" s="491">
        <v>0</v>
      </c>
      <c r="AK299" s="491">
        <v>0</v>
      </c>
      <c r="AL299" s="609">
        <f>SUM(AF299:AK299)</f>
        <v>0</v>
      </c>
      <c r="AM299" s="676">
        <f>I299+AE299</f>
        <v>1218509</v>
      </c>
      <c r="AN299" s="492">
        <f>J299+V299</f>
        <v>903939</v>
      </c>
      <c r="AO299" s="492">
        <f t="shared" si="527"/>
        <v>0</v>
      </c>
      <c r="AP299" s="492">
        <f t="shared" si="528"/>
        <v>305531</v>
      </c>
      <c r="AQ299" s="492">
        <f t="shared" si="528"/>
        <v>9039</v>
      </c>
      <c r="AR299" s="573">
        <f t="shared" si="528"/>
        <v>0</v>
      </c>
      <c r="AS299" s="609">
        <f>O299+AL299</f>
        <v>2.2800000000000002</v>
      </c>
    </row>
    <row r="300" spans="1:45" ht="14.1" customHeight="1" x14ac:dyDescent="0.2">
      <c r="A300" s="509">
        <v>74</v>
      </c>
      <c r="B300" s="507">
        <v>2405</v>
      </c>
      <c r="C300" s="508">
        <v>600079023</v>
      </c>
      <c r="D300" s="507">
        <v>72741881</v>
      </c>
      <c r="E300" s="505" t="s">
        <v>663</v>
      </c>
      <c r="F300" s="509"/>
      <c r="G300" s="505"/>
      <c r="H300" s="504"/>
      <c r="I300" s="612">
        <v>14696372</v>
      </c>
      <c r="J300" s="503">
        <v>10902354</v>
      </c>
      <c r="K300" s="503">
        <v>0</v>
      </c>
      <c r="L300" s="503">
        <v>3684995</v>
      </c>
      <c r="M300" s="503">
        <v>109023</v>
      </c>
      <c r="N300" s="503">
        <v>0</v>
      </c>
      <c r="O300" s="837">
        <v>18.7135</v>
      </c>
      <c r="P300" s="612">
        <f t="shared" ref="P300:AS300" si="529">SUM(P298:P299)</f>
        <v>0</v>
      </c>
      <c r="Q300" s="502">
        <f t="shared" si="529"/>
        <v>0</v>
      </c>
      <c r="R300" s="502">
        <f t="shared" si="529"/>
        <v>0</v>
      </c>
      <c r="S300" s="502">
        <f t="shared" si="529"/>
        <v>0</v>
      </c>
      <c r="T300" s="502">
        <f t="shared" si="529"/>
        <v>0</v>
      </c>
      <c r="U300" s="502">
        <f t="shared" si="529"/>
        <v>0</v>
      </c>
      <c r="V300" s="502">
        <f t="shared" si="529"/>
        <v>0</v>
      </c>
      <c r="W300" s="502">
        <f t="shared" si="529"/>
        <v>0</v>
      </c>
      <c r="X300" s="502">
        <f t="shared" si="529"/>
        <v>0</v>
      </c>
      <c r="Y300" s="502">
        <f t="shared" si="529"/>
        <v>0</v>
      </c>
      <c r="Z300" s="502">
        <f t="shared" si="529"/>
        <v>0</v>
      </c>
      <c r="AA300" s="502">
        <f t="shared" si="529"/>
        <v>0</v>
      </c>
      <c r="AB300" s="502">
        <f t="shared" si="529"/>
        <v>0</v>
      </c>
      <c r="AC300" s="502">
        <f t="shared" si="529"/>
        <v>0</v>
      </c>
      <c r="AD300" s="502">
        <f t="shared" si="529"/>
        <v>0</v>
      </c>
      <c r="AE300" s="852">
        <f t="shared" si="529"/>
        <v>0</v>
      </c>
      <c r="AF300" s="857">
        <f t="shared" si="529"/>
        <v>0</v>
      </c>
      <c r="AG300" s="848">
        <f t="shared" si="529"/>
        <v>0</v>
      </c>
      <c r="AH300" s="848">
        <f t="shared" si="529"/>
        <v>0</v>
      </c>
      <c r="AI300" s="848">
        <f t="shared" si="529"/>
        <v>0</v>
      </c>
      <c r="AJ300" s="848">
        <f t="shared" si="529"/>
        <v>0</v>
      </c>
      <c r="AK300" s="848">
        <f t="shared" si="529"/>
        <v>0</v>
      </c>
      <c r="AL300" s="613">
        <f t="shared" si="529"/>
        <v>0</v>
      </c>
      <c r="AM300" s="612">
        <f t="shared" si="529"/>
        <v>14696372</v>
      </c>
      <c r="AN300" s="502">
        <f t="shared" si="529"/>
        <v>10902354</v>
      </c>
      <c r="AO300" s="549">
        <f t="shared" si="529"/>
        <v>0</v>
      </c>
      <c r="AP300" s="502">
        <f t="shared" si="529"/>
        <v>3684995</v>
      </c>
      <c r="AQ300" s="502">
        <f t="shared" si="529"/>
        <v>109023</v>
      </c>
      <c r="AR300" s="502">
        <f t="shared" si="529"/>
        <v>0</v>
      </c>
      <c r="AS300" s="613">
        <f t="shared" si="529"/>
        <v>18.7135</v>
      </c>
    </row>
    <row r="301" spans="1:45" ht="14.1" customHeight="1" x14ac:dyDescent="0.2">
      <c r="A301" s="499">
        <v>75</v>
      </c>
      <c r="B301" s="511">
        <v>2461</v>
      </c>
      <c r="C301" s="512">
        <v>600079805</v>
      </c>
      <c r="D301" s="511">
        <v>72741724</v>
      </c>
      <c r="E301" s="510" t="s">
        <v>664</v>
      </c>
      <c r="F301" s="499">
        <v>3111</v>
      </c>
      <c r="G301" s="510" t="s">
        <v>277</v>
      </c>
      <c r="H301" s="495" t="s">
        <v>262</v>
      </c>
      <c r="I301" s="610">
        <v>1516256</v>
      </c>
      <c r="J301" s="14">
        <v>1124819</v>
      </c>
      <c r="K301" s="14">
        <v>0</v>
      </c>
      <c r="L301" s="14">
        <v>380189</v>
      </c>
      <c r="M301" s="14">
        <v>11248</v>
      </c>
      <c r="N301" s="14">
        <v>0</v>
      </c>
      <c r="O301" s="121">
        <v>2</v>
      </c>
      <c r="P301" s="676">
        <f t="shared" si="477"/>
        <v>0</v>
      </c>
      <c r="Q301" s="492">
        <v>0</v>
      </c>
      <c r="R301" s="492">
        <v>0</v>
      </c>
      <c r="S301" s="492">
        <v>0</v>
      </c>
      <c r="T301" s="492">
        <v>0</v>
      </c>
      <c r="U301" s="492">
        <v>0</v>
      </c>
      <c r="V301" s="492">
        <f>P301+Q301+R301+S301+T301+U301</f>
        <v>0</v>
      </c>
      <c r="W301" s="492">
        <v>0</v>
      </c>
      <c r="X301" s="492">
        <v>0</v>
      </c>
      <c r="Y301" s="492">
        <v>0</v>
      </c>
      <c r="Z301" s="492">
        <f t="shared" ref="Z301:Z304" si="530">W301+X301+Y301</f>
        <v>0</v>
      </c>
      <c r="AA301" s="492">
        <f t="shared" ref="AA301:AA304" si="531">V301+Z301</f>
        <v>0</v>
      </c>
      <c r="AB301" s="494">
        <f t="shared" ref="AB301:AB304" si="532">ROUND((V301+Z301)*33.8%,0)</f>
        <v>0</v>
      </c>
      <c r="AC301" s="494">
        <f t="shared" ref="AC301:AC304" si="533">ROUND(V301*1%,0)</f>
        <v>0</v>
      </c>
      <c r="AD301" s="14">
        <v>0</v>
      </c>
      <c r="AE301" s="753">
        <f t="shared" si="483"/>
        <v>0</v>
      </c>
      <c r="AF301" s="858">
        <v>0</v>
      </c>
      <c r="AG301" s="491">
        <v>0</v>
      </c>
      <c r="AH301" s="491">
        <v>0</v>
      </c>
      <c r="AI301" s="491">
        <v>0</v>
      </c>
      <c r="AJ301" s="491">
        <v>0</v>
      </c>
      <c r="AK301" s="491">
        <v>0</v>
      </c>
      <c r="AL301" s="609">
        <f>SUM(AF301:AK301)</f>
        <v>0</v>
      </c>
      <c r="AM301" s="676">
        <f>I301+AE301</f>
        <v>1516256</v>
      </c>
      <c r="AN301" s="492">
        <f>J301+V301</f>
        <v>1124819</v>
      </c>
      <c r="AO301" s="492">
        <f t="shared" ref="AO301:AO304" si="534">K301+Z301</f>
        <v>0</v>
      </c>
      <c r="AP301" s="492">
        <f t="shared" ref="AP301:AR304" si="535">L301+AB301</f>
        <v>380189</v>
      </c>
      <c r="AQ301" s="492">
        <f t="shared" si="535"/>
        <v>11248</v>
      </c>
      <c r="AR301" s="573">
        <f t="shared" si="535"/>
        <v>0</v>
      </c>
      <c r="AS301" s="609">
        <f>O301+AL301</f>
        <v>2</v>
      </c>
    </row>
    <row r="302" spans="1:45" ht="14.1" customHeight="1" x14ac:dyDescent="0.2">
      <c r="A302" s="499">
        <v>75</v>
      </c>
      <c r="B302" s="511">
        <v>2461</v>
      </c>
      <c r="C302" s="512">
        <v>600079805</v>
      </c>
      <c r="D302" s="511">
        <v>72741724</v>
      </c>
      <c r="E302" s="510" t="s">
        <v>664</v>
      </c>
      <c r="F302" s="499">
        <v>3117</v>
      </c>
      <c r="G302" s="510" t="s">
        <v>280</v>
      </c>
      <c r="H302" s="495" t="s">
        <v>262</v>
      </c>
      <c r="I302" s="610">
        <v>2654242</v>
      </c>
      <c r="J302" s="14">
        <v>1869764</v>
      </c>
      <c r="K302" s="14">
        <v>100000</v>
      </c>
      <c r="L302" s="14">
        <v>665780</v>
      </c>
      <c r="M302" s="14">
        <v>18698</v>
      </c>
      <c r="N302" s="14">
        <v>0</v>
      </c>
      <c r="O302" s="121">
        <v>2.4055</v>
      </c>
      <c r="P302" s="676">
        <f t="shared" si="477"/>
        <v>0</v>
      </c>
      <c r="Q302" s="492">
        <v>0</v>
      </c>
      <c r="R302" s="492">
        <v>0</v>
      </c>
      <c r="S302" s="492">
        <v>0</v>
      </c>
      <c r="T302" s="492">
        <v>0</v>
      </c>
      <c r="U302" s="492">
        <v>0</v>
      </c>
      <c r="V302" s="492">
        <f>P302+Q302+R302+S302+T302+U302</f>
        <v>0</v>
      </c>
      <c r="W302" s="492">
        <v>0</v>
      </c>
      <c r="X302" s="492">
        <v>0</v>
      </c>
      <c r="Y302" s="492">
        <v>0</v>
      </c>
      <c r="Z302" s="492">
        <f t="shared" si="530"/>
        <v>0</v>
      </c>
      <c r="AA302" s="492">
        <f t="shared" si="531"/>
        <v>0</v>
      </c>
      <c r="AB302" s="494">
        <f t="shared" si="532"/>
        <v>0</v>
      </c>
      <c r="AC302" s="494">
        <f t="shared" si="533"/>
        <v>0</v>
      </c>
      <c r="AD302" s="14">
        <v>0</v>
      </c>
      <c r="AE302" s="753">
        <f t="shared" si="483"/>
        <v>0</v>
      </c>
      <c r="AF302" s="858">
        <v>0</v>
      </c>
      <c r="AG302" s="491">
        <v>0</v>
      </c>
      <c r="AH302" s="491">
        <v>0</v>
      </c>
      <c r="AI302" s="491">
        <v>0</v>
      </c>
      <c r="AJ302" s="491">
        <v>0</v>
      </c>
      <c r="AK302" s="491">
        <v>0</v>
      </c>
      <c r="AL302" s="609">
        <f>SUM(AF302:AK302)</f>
        <v>0</v>
      </c>
      <c r="AM302" s="676">
        <f>I302+AE302</f>
        <v>2654242</v>
      </c>
      <c r="AN302" s="492">
        <f>J302+V302</f>
        <v>1869764</v>
      </c>
      <c r="AO302" s="492">
        <f t="shared" si="534"/>
        <v>100000</v>
      </c>
      <c r="AP302" s="492">
        <f t="shared" si="535"/>
        <v>665780</v>
      </c>
      <c r="AQ302" s="492">
        <f t="shared" si="535"/>
        <v>18698</v>
      </c>
      <c r="AR302" s="573">
        <f t="shared" si="535"/>
        <v>0</v>
      </c>
      <c r="AS302" s="609">
        <f>O302+AL302</f>
        <v>2.4055</v>
      </c>
    </row>
    <row r="303" spans="1:45" ht="14.1" customHeight="1" x14ac:dyDescent="0.2">
      <c r="A303" s="499">
        <v>75</v>
      </c>
      <c r="B303" s="511">
        <v>2461</v>
      </c>
      <c r="C303" s="512">
        <v>600079805</v>
      </c>
      <c r="D303" s="511">
        <v>72741724</v>
      </c>
      <c r="E303" s="510" t="s">
        <v>664</v>
      </c>
      <c r="F303" s="499">
        <v>3117</v>
      </c>
      <c r="G303" s="513" t="s">
        <v>278</v>
      </c>
      <c r="H303" s="495" t="s">
        <v>263</v>
      </c>
      <c r="I303" s="610">
        <v>1090982</v>
      </c>
      <c r="J303" s="490">
        <v>809334</v>
      </c>
      <c r="K303" s="490">
        <v>0</v>
      </c>
      <c r="L303" s="14">
        <v>273555</v>
      </c>
      <c r="M303" s="14">
        <v>8093</v>
      </c>
      <c r="N303" s="14">
        <v>0</v>
      </c>
      <c r="O303" s="664">
        <v>1.9400000000000002</v>
      </c>
      <c r="P303" s="676">
        <f t="shared" si="477"/>
        <v>0</v>
      </c>
      <c r="Q303" s="492">
        <v>22075</v>
      </c>
      <c r="R303" s="492">
        <v>0</v>
      </c>
      <c r="S303" s="492">
        <v>0</v>
      </c>
      <c r="T303" s="492">
        <v>0</v>
      </c>
      <c r="U303" s="492">
        <v>0</v>
      </c>
      <c r="V303" s="492">
        <f>P303+Q303+R303+S303+T303+U303</f>
        <v>22075</v>
      </c>
      <c r="W303" s="492">
        <v>0</v>
      </c>
      <c r="X303" s="492">
        <v>0</v>
      </c>
      <c r="Y303" s="492">
        <v>0</v>
      </c>
      <c r="Z303" s="492">
        <f t="shared" si="530"/>
        <v>0</v>
      </c>
      <c r="AA303" s="492">
        <f t="shared" si="531"/>
        <v>22075</v>
      </c>
      <c r="AB303" s="494">
        <f t="shared" si="532"/>
        <v>7461</v>
      </c>
      <c r="AC303" s="494">
        <f t="shared" si="533"/>
        <v>221</v>
      </c>
      <c r="AD303" s="14">
        <v>0</v>
      </c>
      <c r="AE303" s="753">
        <f t="shared" si="483"/>
        <v>29757</v>
      </c>
      <c r="AF303" s="858">
        <v>0</v>
      </c>
      <c r="AG303" s="491">
        <v>0.04</v>
      </c>
      <c r="AH303" s="491">
        <v>0</v>
      </c>
      <c r="AI303" s="491">
        <v>0</v>
      </c>
      <c r="AJ303" s="491">
        <v>0</v>
      </c>
      <c r="AK303" s="491">
        <v>0</v>
      </c>
      <c r="AL303" s="609">
        <f>SUM(AF303:AK303)</f>
        <v>0.04</v>
      </c>
      <c r="AM303" s="676">
        <f>I303+AE303</f>
        <v>1120739</v>
      </c>
      <c r="AN303" s="492">
        <f>J303+V303</f>
        <v>831409</v>
      </c>
      <c r="AO303" s="492">
        <f t="shared" si="534"/>
        <v>0</v>
      </c>
      <c r="AP303" s="492">
        <f t="shared" si="535"/>
        <v>281016</v>
      </c>
      <c r="AQ303" s="492">
        <f t="shared" si="535"/>
        <v>8314</v>
      </c>
      <c r="AR303" s="573">
        <f t="shared" si="535"/>
        <v>0</v>
      </c>
      <c r="AS303" s="609">
        <f>O303+AL303</f>
        <v>1.9800000000000002</v>
      </c>
    </row>
    <row r="304" spans="1:45" ht="14.1" customHeight="1" x14ac:dyDescent="0.2">
      <c r="A304" s="499">
        <v>75</v>
      </c>
      <c r="B304" s="511">
        <v>2461</v>
      </c>
      <c r="C304" s="512">
        <v>600079805</v>
      </c>
      <c r="D304" s="511">
        <v>72741724</v>
      </c>
      <c r="E304" s="510" t="s">
        <v>664</v>
      </c>
      <c r="F304" s="499">
        <v>3143</v>
      </c>
      <c r="G304" s="513" t="s">
        <v>795</v>
      </c>
      <c r="H304" s="495" t="s">
        <v>262</v>
      </c>
      <c r="I304" s="610">
        <v>791654</v>
      </c>
      <c r="J304" s="14">
        <v>587280</v>
      </c>
      <c r="K304" s="14">
        <v>0</v>
      </c>
      <c r="L304" s="14">
        <v>198501</v>
      </c>
      <c r="M304" s="14">
        <v>5873</v>
      </c>
      <c r="N304" s="14">
        <v>0</v>
      </c>
      <c r="O304" s="121">
        <v>1.0832999999999999</v>
      </c>
      <c r="P304" s="676">
        <f t="shared" si="477"/>
        <v>0</v>
      </c>
      <c r="Q304" s="492">
        <v>0</v>
      </c>
      <c r="R304" s="492">
        <v>0</v>
      </c>
      <c r="S304" s="492">
        <v>0</v>
      </c>
      <c r="T304" s="492">
        <v>0</v>
      </c>
      <c r="U304" s="492">
        <v>0</v>
      </c>
      <c r="V304" s="492">
        <f>P304+Q304+R304+S304+T304+U304</f>
        <v>0</v>
      </c>
      <c r="W304" s="492">
        <v>0</v>
      </c>
      <c r="X304" s="492">
        <v>0</v>
      </c>
      <c r="Y304" s="492">
        <v>0</v>
      </c>
      <c r="Z304" s="492">
        <f t="shared" si="530"/>
        <v>0</v>
      </c>
      <c r="AA304" s="492">
        <f t="shared" si="531"/>
        <v>0</v>
      </c>
      <c r="AB304" s="494">
        <f t="shared" si="532"/>
        <v>0</v>
      </c>
      <c r="AC304" s="494">
        <f t="shared" si="533"/>
        <v>0</v>
      </c>
      <c r="AD304" s="14">
        <v>0</v>
      </c>
      <c r="AE304" s="753">
        <f t="shared" si="483"/>
        <v>0</v>
      </c>
      <c r="AF304" s="858">
        <v>0</v>
      </c>
      <c r="AG304" s="491">
        <v>0</v>
      </c>
      <c r="AH304" s="491">
        <v>0</v>
      </c>
      <c r="AI304" s="491">
        <v>0</v>
      </c>
      <c r="AJ304" s="491">
        <v>0</v>
      </c>
      <c r="AK304" s="491">
        <v>0</v>
      </c>
      <c r="AL304" s="609">
        <f>SUM(AF304:AK304)</f>
        <v>0</v>
      </c>
      <c r="AM304" s="676">
        <f>I304+AE304</f>
        <v>791654</v>
      </c>
      <c r="AN304" s="492">
        <f>J304+V304</f>
        <v>587280</v>
      </c>
      <c r="AO304" s="492">
        <f t="shared" si="534"/>
        <v>0</v>
      </c>
      <c r="AP304" s="492">
        <f t="shared" si="535"/>
        <v>198501</v>
      </c>
      <c r="AQ304" s="492">
        <f t="shared" si="535"/>
        <v>5873</v>
      </c>
      <c r="AR304" s="573">
        <f t="shared" si="535"/>
        <v>0</v>
      </c>
      <c r="AS304" s="609">
        <f>O304+AL304</f>
        <v>1.0832999999999999</v>
      </c>
    </row>
    <row r="305" spans="1:45" ht="14.1" customHeight="1" x14ac:dyDescent="0.2">
      <c r="A305" s="509">
        <v>75</v>
      </c>
      <c r="B305" s="507">
        <v>2461</v>
      </c>
      <c r="C305" s="508">
        <v>600079805</v>
      </c>
      <c r="D305" s="507">
        <v>72741724</v>
      </c>
      <c r="E305" s="505" t="s">
        <v>665</v>
      </c>
      <c r="F305" s="509"/>
      <c r="G305" s="505"/>
      <c r="H305" s="504"/>
      <c r="I305" s="612">
        <v>6053134</v>
      </c>
      <c r="J305" s="503">
        <v>4391197</v>
      </c>
      <c r="K305" s="503">
        <v>100000</v>
      </c>
      <c r="L305" s="503">
        <v>1518025</v>
      </c>
      <c r="M305" s="503">
        <v>43912</v>
      </c>
      <c r="N305" s="503">
        <v>0</v>
      </c>
      <c r="O305" s="837">
        <v>7.4288000000000007</v>
      </c>
      <c r="P305" s="612">
        <f t="shared" ref="P305:AS305" si="536">SUM(P301:P304)</f>
        <v>0</v>
      </c>
      <c r="Q305" s="502">
        <f t="shared" si="536"/>
        <v>22075</v>
      </c>
      <c r="R305" s="502">
        <f t="shared" si="536"/>
        <v>0</v>
      </c>
      <c r="S305" s="502">
        <f t="shared" si="536"/>
        <v>0</v>
      </c>
      <c r="T305" s="502">
        <f t="shared" si="536"/>
        <v>0</v>
      </c>
      <c r="U305" s="502">
        <f t="shared" si="536"/>
        <v>0</v>
      </c>
      <c r="V305" s="502">
        <f t="shared" si="536"/>
        <v>22075</v>
      </c>
      <c r="W305" s="502">
        <f t="shared" si="536"/>
        <v>0</v>
      </c>
      <c r="X305" s="502">
        <f t="shared" si="536"/>
        <v>0</v>
      </c>
      <c r="Y305" s="502">
        <f t="shared" si="536"/>
        <v>0</v>
      </c>
      <c r="Z305" s="502">
        <f t="shared" si="536"/>
        <v>0</v>
      </c>
      <c r="AA305" s="502">
        <f t="shared" si="536"/>
        <v>22075</v>
      </c>
      <c r="AB305" s="502">
        <f t="shared" si="536"/>
        <v>7461</v>
      </c>
      <c r="AC305" s="502">
        <f t="shared" si="536"/>
        <v>221</v>
      </c>
      <c r="AD305" s="502">
        <f t="shared" si="536"/>
        <v>0</v>
      </c>
      <c r="AE305" s="852">
        <f t="shared" si="536"/>
        <v>29757</v>
      </c>
      <c r="AF305" s="857">
        <f t="shared" si="536"/>
        <v>0</v>
      </c>
      <c r="AG305" s="848">
        <f t="shared" si="536"/>
        <v>0.04</v>
      </c>
      <c r="AH305" s="848">
        <f t="shared" si="536"/>
        <v>0</v>
      </c>
      <c r="AI305" s="848">
        <f t="shared" si="536"/>
        <v>0</v>
      </c>
      <c r="AJ305" s="848">
        <f t="shared" si="536"/>
        <v>0</v>
      </c>
      <c r="AK305" s="848">
        <f t="shared" si="536"/>
        <v>0</v>
      </c>
      <c r="AL305" s="613">
        <f t="shared" si="536"/>
        <v>0.04</v>
      </c>
      <c r="AM305" s="612">
        <f t="shared" si="536"/>
        <v>6082891</v>
      </c>
      <c r="AN305" s="502">
        <f t="shared" si="536"/>
        <v>4413272</v>
      </c>
      <c r="AO305" s="549">
        <f t="shared" si="536"/>
        <v>100000</v>
      </c>
      <c r="AP305" s="502">
        <f t="shared" si="536"/>
        <v>1525486</v>
      </c>
      <c r="AQ305" s="502">
        <f t="shared" si="536"/>
        <v>44133</v>
      </c>
      <c r="AR305" s="502">
        <f t="shared" si="536"/>
        <v>0</v>
      </c>
      <c r="AS305" s="613">
        <f t="shared" si="536"/>
        <v>7.4687999999999999</v>
      </c>
    </row>
    <row r="306" spans="1:45" ht="14.1" customHeight="1" x14ac:dyDescent="0.2">
      <c r="A306" s="499">
        <v>76</v>
      </c>
      <c r="B306" s="511">
        <v>2460</v>
      </c>
      <c r="C306" s="512">
        <v>600079783</v>
      </c>
      <c r="D306" s="511">
        <v>72741643</v>
      </c>
      <c r="E306" s="510" t="s">
        <v>666</v>
      </c>
      <c r="F306" s="499">
        <v>3113</v>
      </c>
      <c r="G306" s="510" t="s">
        <v>280</v>
      </c>
      <c r="H306" s="495" t="s">
        <v>262</v>
      </c>
      <c r="I306" s="610">
        <v>43858177</v>
      </c>
      <c r="J306" s="14">
        <v>32535740</v>
      </c>
      <c r="K306" s="14">
        <v>0</v>
      </c>
      <c r="L306" s="14">
        <v>10997080</v>
      </c>
      <c r="M306" s="14">
        <v>325357</v>
      </c>
      <c r="N306" s="14">
        <v>0</v>
      </c>
      <c r="O306" s="121">
        <v>43.336200000000005</v>
      </c>
      <c r="P306" s="676">
        <f t="shared" si="477"/>
        <v>0</v>
      </c>
      <c r="Q306" s="492">
        <v>0</v>
      </c>
      <c r="R306" s="492">
        <v>0</v>
      </c>
      <c r="S306" s="492">
        <v>0</v>
      </c>
      <c r="T306" s="492">
        <v>0</v>
      </c>
      <c r="U306" s="492">
        <v>0</v>
      </c>
      <c r="V306" s="492">
        <f>P306+Q306+R306+S306+T306+U306</f>
        <v>0</v>
      </c>
      <c r="W306" s="492">
        <v>0</v>
      </c>
      <c r="X306" s="492">
        <v>0</v>
      </c>
      <c r="Y306" s="492">
        <v>0</v>
      </c>
      <c r="Z306" s="492">
        <f t="shared" ref="Z306:Z309" si="537">W306+X306+Y306</f>
        <v>0</v>
      </c>
      <c r="AA306" s="492">
        <f t="shared" ref="AA306:AA309" si="538">V306+Z306</f>
        <v>0</v>
      </c>
      <c r="AB306" s="494">
        <f t="shared" ref="AB306:AB309" si="539">ROUND((V306+Z306)*33.8%,0)</f>
        <v>0</v>
      </c>
      <c r="AC306" s="494">
        <f>ROUND(V306*1%,0)</f>
        <v>0</v>
      </c>
      <c r="AD306" s="14">
        <v>0</v>
      </c>
      <c r="AE306" s="753">
        <f t="shared" si="483"/>
        <v>0</v>
      </c>
      <c r="AF306" s="858">
        <v>0</v>
      </c>
      <c r="AG306" s="491">
        <v>0</v>
      </c>
      <c r="AH306" s="491">
        <v>0</v>
      </c>
      <c r="AI306" s="491">
        <v>0</v>
      </c>
      <c r="AJ306" s="491">
        <v>0</v>
      </c>
      <c r="AK306" s="491">
        <v>0</v>
      </c>
      <c r="AL306" s="609">
        <f>SUM(AF306:AK306)</f>
        <v>0</v>
      </c>
      <c r="AM306" s="676">
        <f>I306+AE306</f>
        <v>43858177</v>
      </c>
      <c r="AN306" s="492">
        <f>J306+V306</f>
        <v>32535740</v>
      </c>
      <c r="AO306" s="492">
        <f t="shared" ref="AO306:AO309" si="540">K306+Z306</f>
        <v>0</v>
      </c>
      <c r="AP306" s="492">
        <f t="shared" ref="AP306:AR309" si="541">L306+AB306</f>
        <v>10997080</v>
      </c>
      <c r="AQ306" s="492">
        <f t="shared" si="541"/>
        <v>325357</v>
      </c>
      <c r="AR306" s="573">
        <f t="shared" si="541"/>
        <v>0</v>
      </c>
      <c r="AS306" s="609">
        <f>O306+AL306</f>
        <v>43.336200000000005</v>
      </c>
    </row>
    <row r="307" spans="1:45" ht="14.1" customHeight="1" x14ac:dyDescent="0.2">
      <c r="A307" s="499">
        <v>76</v>
      </c>
      <c r="B307" s="511">
        <v>2460</v>
      </c>
      <c r="C307" s="512">
        <v>600079783</v>
      </c>
      <c r="D307" s="511">
        <v>72741643</v>
      </c>
      <c r="E307" s="510" t="s">
        <v>666</v>
      </c>
      <c r="F307" s="499">
        <v>3113</v>
      </c>
      <c r="G307" s="510" t="s">
        <v>799</v>
      </c>
      <c r="H307" s="495" t="s">
        <v>262</v>
      </c>
      <c r="I307" s="610">
        <v>755421</v>
      </c>
      <c r="J307" s="14">
        <v>560401</v>
      </c>
      <c r="K307" s="14">
        <v>0</v>
      </c>
      <c r="L307" s="14">
        <v>189416</v>
      </c>
      <c r="M307" s="14">
        <v>5604</v>
      </c>
      <c r="N307" s="14">
        <v>0</v>
      </c>
      <c r="O307" s="121">
        <v>0.9</v>
      </c>
      <c r="P307" s="676">
        <f t="shared" si="477"/>
        <v>0</v>
      </c>
      <c r="Q307" s="492">
        <v>0</v>
      </c>
      <c r="R307" s="492">
        <v>0</v>
      </c>
      <c r="S307" s="492">
        <v>0</v>
      </c>
      <c r="T307" s="492">
        <v>0</v>
      </c>
      <c r="U307" s="492">
        <v>0</v>
      </c>
      <c r="V307" s="492">
        <f>P307+Q307+R307+S307+T307+U307</f>
        <v>0</v>
      </c>
      <c r="W307" s="492">
        <v>0</v>
      </c>
      <c r="X307" s="492">
        <v>0</v>
      </c>
      <c r="Y307" s="492">
        <v>0</v>
      </c>
      <c r="Z307" s="492">
        <f t="shared" ref="Z307" si="542">W307+X307+Y307</f>
        <v>0</v>
      </c>
      <c r="AA307" s="492">
        <f t="shared" ref="AA307" si="543">V307+Z307</f>
        <v>0</v>
      </c>
      <c r="AB307" s="494">
        <f t="shared" ref="AB307" si="544">ROUND((V307+Z307)*33.8%,0)</f>
        <v>0</v>
      </c>
      <c r="AC307" s="494">
        <f>ROUND(V307*1%,0)</f>
        <v>0</v>
      </c>
      <c r="AD307" s="14">
        <v>0</v>
      </c>
      <c r="AE307" s="753">
        <f t="shared" si="483"/>
        <v>0</v>
      </c>
      <c r="AF307" s="858">
        <v>0</v>
      </c>
      <c r="AG307" s="491">
        <v>0</v>
      </c>
      <c r="AH307" s="491">
        <v>0</v>
      </c>
      <c r="AI307" s="491">
        <v>0</v>
      </c>
      <c r="AJ307" s="491">
        <v>0</v>
      </c>
      <c r="AK307" s="491">
        <v>0</v>
      </c>
      <c r="AL307" s="609">
        <f>SUM(AF307:AK307)</f>
        <v>0</v>
      </c>
      <c r="AM307" s="676">
        <f>I307+AE307</f>
        <v>755421</v>
      </c>
      <c r="AN307" s="492">
        <f>J307+V307</f>
        <v>560401</v>
      </c>
      <c r="AO307" s="492">
        <f t="shared" si="540"/>
        <v>0</v>
      </c>
      <c r="AP307" s="492">
        <f t="shared" si="541"/>
        <v>189416</v>
      </c>
      <c r="AQ307" s="492">
        <f t="shared" si="541"/>
        <v>5604</v>
      </c>
      <c r="AR307" s="573">
        <f t="shared" si="541"/>
        <v>0</v>
      </c>
      <c r="AS307" s="609">
        <f>O307+AL307</f>
        <v>0.9</v>
      </c>
    </row>
    <row r="308" spans="1:45" ht="14.1" customHeight="1" x14ac:dyDescent="0.2">
      <c r="A308" s="499">
        <v>76</v>
      </c>
      <c r="B308" s="511">
        <v>2460</v>
      </c>
      <c r="C308" s="512">
        <v>600079783</v>
      </c>
      <c r="D308" s="511">
        <v>72741643</v>
      </c>
      <c r="E308" s="510" t="s">
        <v>666</v>
      </c>
      <c r="F308" s="499">
        <v>3113</v>
      </c>
      <c r="G308" s="513" t="s">
        <v>278</v>
      </c>
      <c r="H308" s="495" t="s">
        <v>263</v>
      </c>
      <c r="I308" s="610">
        <v>942285</v>
      </c>
      <c r="J308" s="490">
        <v>699025</v>
      </c>
      <c r="K308" s="490">
        <v>0</v>
      </c>
      <c r="L308" s="14">
        <v>236270</v>
      </c>
      <c r="M308" s="14">
        <v>6990</v>
      </c>
      <c r="N308" s="14">
        <v>0</v>
      </c>
      <c r="O308" s="664">
        <v>1.7</v>
      </c>
      <c r="P308" s="676">
        <f t="shared" si="477"/>
        <v>0</v>
      </c>
      <c r="Q308" s="492">
        <v>110973</v>
      </c>
      <c r="R308" s="492">
        <v>0</v>
      </c>
      <c r="S308" s="492">
        <v>0</v>
      </c>
      <c r="T308" s="492">
        <v>0</v>
      </c>
      <c r="U308" s="492">
        <v>0</v>
      </c>
      <c r="V308" s="492">
        <f>P308+Q308+R308+S308+T308+U308</f>
        <v>110973</v>
      </c>
      <c r="W308" s="492">
        <v>0</v>
      </c>
      <c r="X308" s="492">
        <v>0</v>
      </c>
      <c r="Y308" s="492">
        <v>0</v>
      </c>
      <c r="Z308" s="492">
        <f t="shared" si="537"/>
        <v>0</v>
      </c>
      <c r="AA308" s="492">
        <f t="shared" si="538"/>
        <v>110973</v>
      </c>
      <c r="AB308" s="494">
        <f t="shared" si="539"/>
        <v>37509</v>
      </c>
      <c r="AC308" s="494">
        <f>ROUND(V308*1%,0)</f>
        <v>1110</v>
      </c>
      <c r="AD308" s="14">
        <v>0</v>
      </c>
      <c r="AE308" s="753">
        <f t="shared" si="483"/>
        <v>149592</v>
      </c>
      <c r="AF308" s="858">
        <v>0</v>
      </c>
      <c r="AG308" s="491">
        <v>0.38</v>
      </c>
      <c r="AH308" s="491">
        <v>0</v>
      </c>
      <c r="AI308" s="491">
        <v>0</v>
      </c>
      <c r="AJ308" s="491">
        <v>0</v>
      </c>
      <c r="AK308" s="491">
        <v>0</v>
      </c>
      <c r="AL308" s="609">
        <f>SUM(AF308:AK308)</f>
        <v>0.38</v>
      </c>
      <c r="AM308" s="676">
        <f>I308+AE308</f>
        <v>1091877</v>
      </c>
      <c r="AN308" s="492">
        <f>J308+V308</f>
        <v>809998</v>
      </c>
      <c r="AO308" s="492">
        <f t="shared" si="540"/>
        <v>0</v>
      </c>
      <c r="AP308" s="492">
        <f t="shared" si="541"/>
        <v>273779</v>
      </c>
      <c r="AQ308" s="492">
        <f t="shared" si="541"/>
        <v>8100</v>
      </c>
      <c r="AR308" s="573">
        <f t="shared" si="541"/>
        <v>0</v>
      </c>
      <c r="AS308" s="609">
        <f>O308+AL308</f>
        <v>2.08</v>
      </c>
    </row>
    <row r="309" spans="1:45" ht="14.1" customHeight="1" x14ac:dyDescent="0.2">
      <c r="A309" s="499">
        <v>76</v>
      </c>
      <c r="B309" s="511">
        <v>2460</v>
      </c>
      <c r="C309" s="512">
        <v>600079783</v>
      </c>
      <c r="D309" s="511">
        <v>72741643</v>
      </c>
      <c r="E309" s="510" t="s">
        <v>666</v>
      </c>
      <c r="F309" s="499">
        <v>3143</v>
      </c>
      <c r="G309" s="513" t="s">
        <v>794</v>
      </c>
      <c r="H309" s="495" t="s">
        <v>262</v>
      </c>
      <c r="I309" s="610">
        <v>3168224</v>
      </c>
      <c r="J309" s="14">
        <v>2350315</v>
      </c>
      <c r="K309" s="14">
        <v>0</v>
      </c>
      <c r="L309" s="14">
        <v>794406</v>
      </c>
      <c r="M309" s="14">
        <v>23503</v>
      </c>
      <c r="N309" s="14">
        <v>0</v>
      </c>
      <c r="O309" s="121">
        <v>4.3213999999999997</v>
      </c>
      <c r="P309" s="676">
        <f t="shared" si="477"/>
        <v>0</v>
      </c>
      <c r="Q309" s="492">
        <v>0</v>
      </c>
      <c r="R309" s="492">
        <v>0</v>
      </c>
      <c r="S309" s="492">
        <v>0</v>
      </c>
      <c r="T309" s="492">
        <v>0</v>
      </c>
      <c r="U309" s="492">
        <v>0</v>
      </c>
      <c r="V309" s="492">
        <f>P309+Q309+R309+S309+T309+U309</f>
        <v>0</v>
      </c>
      <c r="W309" s="492">
        <v>0</v>
      </c>
      <c r="X309" s="492">
        <v>0</v>
      </c>
      <c r="Y309" s="492">
        <v>0</v>
      </c>
      <c r="Z309" s="492">
        <f t="shared" si="537"/>
        <v>0</v>
      </c>
      <c r="AA309" s="492">
        <f t="shared" si="538"/>
        <v>0</v>
      </c>
      <c r="AB309" s="494">
        <f t="shared" si="539"/>
        <v>0</v>
      </c>
      <c r="AC309" s="494">
        <f>ROUND(V309*1%,0)</f>
        <v>0</v>
      </c>
      <c r="AD309" s="14">
        <v>0</v>
      </c>
      <c r="AE309" s="753">
        <f t="shared" si="483"/>
        <v>0</v>
      </c>
      <c r="AF309" s="858">
        <v>0</v>
      </c>
      <c r="AG309" s="491">
        <v>0</v>
      </c>
      <c r="AH309" s="491">
        <v>0</v>
      </c>
      <c r="AI309" s="491">
        <v>0</v>
      </c>
      <c r="AJ309" s="491">
        <v>0</v>
      </c>
      <c r="AK309" s="491">
        <v>0</v>
      </c>
      <c r="AL309" s="609">
        <f>SUM(AF309:AK309)</f>
        <v>0</v>
      </c>
      <c r="AM309" s="676">
        <f>I309+AE309</f>
        <v>3168224</v>
      </c>
      <c r="AN309" s="492">
        <f>J309+V309</f>
        <v>2350315</v>
      </c>
      <c r="AO309" s="492">
        <f t="shared" si="540"/>
        <v>0</v>
      </c>
      <c r="AP309" s="492">
        <f t="shared" si="541"/>
        <v>794406</v>
      </c>
      <c r="AQ309" s="492">
        <f t="shared" si="541"/>
        <v>23503</v>
      </c>
      <c r="AR309" s="573">
        <f t="shared" si="541"/>
        <v>0</v>
      </c>
      <c r="AS309" s="609">
        <f>O309+AL309</f>
        <v>4.3213999999999997</v>
      </c>
    </row>
    <row r="310" spans="1:45" ht="14.1" customHeight="1" x14ac:dyDescent="0.2">
      <c r="A310" s="509">
        <v>76</v>
      </c>
      <c r="B310" s="507">
        <v>2460</v>
      </c>
      <c r="C310" s="508">
        <v>600079783</v>
      </c>
      <c r="D310" s="507">
        <v>72741643</v>
      </c>
      <c r="E310" s="505" t="s">
        <v>667</v>
      </c>
      <c r="F310" s="509"/>
      <c r="G310" s="505"/>
      <c r="H310" s="504"/>
      <c r="I310" s="612">
        <v>48724107</v>
      </c>
      <c r="J310" s="503">
        <v>36145481</v>
      </c>
      <c r="K310" s="503">
        <v>0</v>
      </c>
      <c r="L310" s="503">
        <v>12217172</v>
      </c>
      <c r="M310" s="503">
        <v>361454</v>
      </c>
      <c r="N310" s="503">
        <v>0</v>
      </c>
      <c r="O310" s="837">
        <v>50.257600000000004</v>
      </c>
      <c r="P310" s="612">
        <f t="shared" ref="P310:AS310" si="545">SUM(P306:P309)</f>
        <v>0</v>
      </c>
      <c r="Q310" s="502">
        <f t="shared" si="545"/>
        <v>110973</v>
      </c>
      <c r="R310" s="502">
        <f t="shared" si="545"/>
        <v>0</v>
      </c>
      <c r="S310" s="502">
        <f t="shared" si="545"/>
        <v>0</v>
      </c>
      <c r="T310" s="502">
        <f t="shared" si="545"/>
        <v>0</v>
      </c>
      <c r="U310" s="502">
        <f t="shared" si="545"/>
        <v>0</v>
      </c>
      <c r="V310" s="502">
        <f t="shared" si="545"/>
        <v>110973</v>
      </c>
      <c r="W310" s="502">
        <f t="shared" si="545"/>
        <v>0</v>
      </c>
      <c r="X310" s="502">
        <f t="shared" si="545"/>
        <v>0</v>
      </c>
      <c r="Y310" s="502">
        <f t="shared" si="545"/>
        <v>0</v>
      </c>
      <c r="Z310" s="502">
        <f t="shared" si="545"/>
        <v>0</v>
      </c>
      <c r="AA310" s="502">
        <f t="shared" si="545"/>
        <v>110973</v>
      </c>
      <c r="AB310" s="502">
        <f t="shared" si="545"/>
        <v>37509</v>
      </c>
      <c r="AC310" s="502">
        <f t="shared" si="545"/>
        <v>1110</v>
      </c>
      <c r="AD310" s="502">
        <f t="shared" si="545"/>
        <v>0</v>
      </c>
      <c r="AE310" s="852">
        <f t="shared" si="545"/>
        <v>149592</v>
      </c>
      <c r="AF310" s="857">
        <f t="shared" si="545"/>
        <v>0</v>
      </c>
      <c r="AG310" s="848">
        <f t="shared" si="545"/>
        <v>0.38</v>
      </c>
      <c r="AH310" s="848">
        <f t="shared" si="545"/>
        <v>0</v>
      </c>
      <c r="AI310" s="848">
        <f t="shared" si="545"/>
        <v>0</v>
      </c>
      <c r="AJ310" s="848">
        <f t="shared" si="545"/>
        <v>0</v>
      </c>
      <c r="AK310" s="848">
        <f t="shared" si="545"/>
        <v>0</v>
      </c>
      <c r="AL310" s="613">
        <f t="shared" si="545"/>
        <v>0.38</v>
      </c>
      <c r="AM310" s="612">
        <f t="shared" si="545"/>
        <v>48873699</v>
      </c>
      <c r="AN310" s="502">
        <f t="shared" si="545"/>
        <v>36256454</v>
      </c>
      <c r="AO310" s="549">
        <f t="shared" si="545"/>
        <v>0</v>
      </c>
      <c r="AP310" s="502">
        <f t="shared" si="545"/>
        <v>12254681</v>
      </c>
      <c r="AQ310" s="502">
        <f t="shared" si="545"/>
        <v>362564</v>
      </c>
      <c r="AR310" s="502">
        <f t="shared" si="545"/>
        <v>0</v>
      </c>
      <c r="AS310" s="613">
        <f t="shared" si="545"/>
        <v>50.637599999999999</v>
      </c>
    </row>
    <row r="311" spans="1:45" ht="14.1" customHeight="1" x14ac:dyDescent="0.2">
      <c r="A311" s="499">
        <v>77</v>
      </c>
      <c r="B311" s="511">
        <v>2324</v>
      </c>
      <c r="C311" s="512">
        <v>600074030</v>
      </c>
      <c r="D311" s="511">
        <v>71013083</v>
      </c>
      <c r="E311" s="496" t="s">
        <v>782</v>
      </c>
      <c r="F311" s="519">
        <v>3111</v>
      </c>
      <c r="G311" s="510" t="s">
        <v>277</v>
      </c>
      <c r="H311" s="495" t="s">
        <v>262</v>
      </c>
      <c r="I311" s="610">
        <v>11236474</v>
      </c>
      <c r="J311" s="14">
        <v>8335663</v>
      </c>
      <c r="K311" s="14">
        <v>0</v>
      </c>
      <c r="L311" s="14">
        <v>2817454</v>
      </c>
      <c r="M311" s="14">
        <v>83357</v>
      </c>
      <c r="N311" s="14">
        <v>0</v>
      </c>
      <c r="O311" s="121">
        <v>14</v>
      </c>
      <c r="P311" s="676">
        <f t="shared" si="477"/>
        <v>0</v>
      </c>
      <c r="Q311" s="492">
        <v>0</v>
      </c>
      <c r="R311" s="492">
        <v>0</v>
      </c>
      <c r="S311" s="492">
        <v>0</v>
      </c>
      <c r="T311" s="492">
        <v>0</v>
      </c>
      <c r="U311" s="492">
        <v>0</v>
      </c>
      <c r="V311" s="492">
        <f>P311+Q311+R311+S311+T311+U311</f>
        <v>0</v>
      </c>
      <c r="W311" s="492">
        <v>0</v>
      </c>
      <c r="X311" s="492">
        <v>0</v>
      </c>
      <c r="Y311" s="492">
        <v>0</v>
      </c>
      <c r="Z311" s="492">
        <f t="shared" ref="Z311:Z312" si="546">W311+X311+Y311</f>
        <v>0</v>
      </c>
      <c r="AA311" s="492">
        <f t="shared" ref="AA311:AA312" si="547">V311+Z311</f>
        <v>0</v>
      </c>
      <c r="AB311" s="494">
        <f t="shared" ref="AB311:AB312" si="548">ROUND((V311+Z311)*33.8%,0)</f>
        <v>0</v>
      </c>
      <c r="AC311" s="494">
        <f>ROUND(V311*1%,0)</f>
        <v>0</v>
      </c>
      <c r="AD311" s="14">
        <v>0</v>
      </c>
      <c r="AE311" s="753">
        <f t="shared" si="483"/>
        <v>0</v>
      </c>
      <c r="AF311" s="858">
        <v>0</v>
      </c>
      <c r="AG311" s="491">
        <v>0</v>
      </c>
      <c r="AH311" s="491">
        <v>0</v>
      </c>
      <c r="AI311" s="491">
        <v>0</v>
      </c>
      <c r="AJ311" s="491">
        <v>0</v>
      </c>
      <c r="AK311" s="491">
        <v>0</v>
      </c>
      <c r="AL311" s="609">
        <f>SUM(AF311:AK311)</f>
        <v>0</v>
      </c>
      <c r="AM311" s="676">
        <f>I311+AE311</f>
        <v>11236474</v>
      </c>
      <c r="AN311" s="492">
        <f>J311+V311</f>
        <v>8335663</v>
      </c>
      <c r="AO311" s="492">
        <f t="shared" ref="AO311:AO312" si="549">K311+Z311</f>
        <v>0</v>
      </c>
      <c r="AP311" s="492">
        <f t="shared" ref="AP311:AR312" si="550">L311+AB311</f>
        <v>2817454</v>
      </c>
      <c r="AQ311" s="492">
        <f t="shared" si="550"/>
        <v>83357</v>
      </c>
      <c r="AR311" s="573">
        <f t="shared" si="550"/>
        <v>0</v>
      </c>
      <c r="AS311" s="609">
        <f>O311+AL311</f>
        <v>14</v>
      </c>
    </row>
    <row r="312" spans="1:45" ht="14.1" customHeight="1" x14ac:dyDescent="0.2">
      <c r="A312" s="499">
        <v>77</v>
      </c>
      <c r="B312" s="511">
        <v>2324</v>
      </c>
      <c r="C312" s="512">
        <v>600074030</v>
      </c>
      <c r="D312" s="511">
        <v>71013083</v>
      </c>
      <c r="E312" s="496" t="s">
        <v>782</v>
      </c>
      <c r="F312" s="519">
        <v>3111</v>
      </c>
      <c r="G312" s="513" t="s">
        <v>278</v>
      </c>
      <c r="H312" s="495" t="s">
        <v>263</v>
      </c>
      <c r="I312" s="610">
        <v>3430553</v>
      </c>
      <c r="J312" s="490">
        <v>2544921</v>
      </c>
      <c r="K312" s="490">
        <v>0</v>
      </c>
      <c r="L312" s="14">
        <v>860183</v>
      </c>
      <c r="M312" s="14">
        <v>25449</v>
      </c>
      <c r="N312" s="14">
        <v>0</v>
      </c>
      <c r="O312" s="664">
        <v>6.64</v>
      </c>
      <c r="P312" s="676">
        <f t="shared" si="477"/>
        <v>0</v>
      </c>
      <c r="Q312" s="492">
        <v>0</v>
      </c>
      <c r="R312" s="492">
        <v>0</v>
      </c>
      <c r="S312" s="492">
        <v>0</v>
      </c>
      <c r="T312" s="492">
        <v>0</v>
      </c>
      <c r="U312" s="492">
        <v>0</v>
      </c>
      <c r="V312" s="492">
        <f>P312+Q312+R312+S312+T312+U312</f>
        <v>0</v>
      </c>
      <c r="W312" s="492">
        <v>0</v>
      </c>
      <c r="X312" s="492">
        <v>0</v>
      </c>
      <c r="Y312" s="492">
        <v>0</v>
      </c>
      <c r="Z312" s="492">
        <f t="shared" si="546"/>
        <v>0</v>
      </c>
      <c r="AA312" s="492">
        <f t="shared" si="547"/>
        <v>0</v>
      </c>
      <c r="AB312" s="494">
        <f t="shared" si="548"/>
        <v>0</v>
      </c>
      <c r="AC312" s="494">
        <f>ROUND(V312*1%,0)</f>
        <v>0</v>
      </c>
      <c r="AD312" s="14">
        <v>0</v>
      </c>
      <c r="AE312" s="753">
        <f t="shared" si="483"/>
        <v>0</v>
      </c>
      <c r="AF312" s="858">
        <v>0</v>
      </c>
      <c r="AG312" s="491">
        <v>0</v>
      </c>
      <c r="AH312" s="491">
        <v>0</v>
      </c>
      <c r="AI312" s="491">
        <v>0</v>
      </c>
      <c r="AJ312" s="491">
        <v>0</v>
      </c>
      <c r="AK312" s="491">
        <v>0</v>
      </c>
      <c r="AL312" s="609">
        <f>SUM(AF312:AK312)</f>
        <v>0</v>
      </c>
      <c r="AM312" s="676">
        <f>I312+AE312</f>
        <v>3430553</v>
      </c>
      <c r="AN312" s="492">
        <f>J312+V312</f>
        <v>2544921</v>
      </c>
      <c r="AO312" s="492">
        <f t="shared" si="549"/>
        <v>0</v>
      </c>
      <c r="AP312" s="492">
        <f t="shared" si="550"/>
        <v>860183</v>
      </c>
      <c r="AQ312" s="492">
        <f t="shared" si="550"/>
        <v>25449</v>
      </c>
      <c r="AR312" s="573">
        <f t="shared" si="550"/>
        <v>0</v>
      </c>
      <c r="AS312" s="609">
        <f>O312+AL312</f>
        <v>6.64</v>
      </c>
    </row>
    <row r="313" spans="1:45" ht="14.1" customHeight="1" x14ac:dyDescent="0.2">
      <c r="A313" s="509">
        <v>77</v>
      </c>
      <c r="B313" s="507">
        <v>2324</v>
      </c>
      <c r="C313" s="508">
        <v>600074030</v>
      </c>
      <c r="D313" s="507">
        <v>71013083</v>
      </c>
      <c r="E313" s="518" t="s">
        <v>783</v>
      </c>
      <c r="F313" s="509"/>
      <c r="G313" s="505"/>
      <c r="H313" s="504"/>
      <c r="I313" s="612">
        <v>14667027</v>
      </c>
      <c r="J313" s="503">
        <v>10880584</v>
      </c>
      <c r="K313" s="503">
        <v>0</v>
      </c>
      <c r="L313" s="503">
        <v>3677637</v>
      </c>
      <c r="M313" s="503">
        <v>108806</v>
      </c>
      <c r="N313" s="503">
        <v>0</v>
      </c>
      <c r="O313" s="837">
        <v>20.64</v>
      </c>
      <c r="P313" s="612">
        <f t="shared" ref="P313:AS313" si="551">SUM(P311:P312)</f>
        <v>0</v>
      </c>
      <c r="Q313" s="502">
        <f t="shared" si="551"/>
        <v>0</v>
      </c>
      <c r="R313" s="502">
        <f t="shared" si="551"/>
        <v>0</v>
      </c>
      <c r="S313" s="502">
        <f t="shared" si="551"/>
        <v>0</v>
      </c>
      <c r="T313" s="502">
        <f t="shared" si="551"/>
        <v>0</v>
      </c>
      <c r="U313" s="502">
        <f t="shared" si="551"/>
        <v>0</v>
      </c>
      <c r="V313" s="502">
        <f t="shared" si="551"/>
        <v>0</v>
      </c>
      <c r="W313" s="502">
        <f t="shared" si="551"/>
        <v>0</v>
      </c>
      <c r="X313" s="502">
        <f t="shared" si="551"/>
        <v>0</v>
      </c>
      <c r="Y313" s="502">
        <f t="shared" si="551"/>
        <v>0</v>
      </c>
      <c r="Z313" s="502">
        <f t="shared" si="551"/>
        <v>0</v>
      </c>
      <c r="AA313" s="502">
        <f t="shared" si="551"/>
        <v>0</v>
      </c>
      <c r="AB313" s="502">
        <f t="shared" si="551"/>
        <v>0</v>
      </c>
      <c r="AC313" s="502">
        <f t="shared" si="551"/>
        <v>0</v>
      </c>
      <c r="AD313" s="502">
        <f t="shared" si="551"/>
        <v>0</v>
      </c>
      <c r="AE313" s="852">
        <f t="shared" si="551"/>
        <v>0</v>
      </c>
      <c r="AF313" s="857">
        <f t="shared" si="551"/>
        <v>0</v>
      </c>
      <c r="AG313" s="848">
        <f t="shared" si="551"/>
        <v>0</v>
      </c>
      <c r="AH313" s="848">
        <f t="shared" si="551"/>
        <v>0</v>
      </c>
      <c r="AI313" s="848">
        <f t="shared" si="551"/>
        <v>0</v>
      </c>
      <c r="AJ313" s="848">
        <f t="shared" si="551"/>
        <v>0</v>
      </c>
      <c r="AK313" s="848">
        <f t="shared" si="551"/>
        <v>0</v>
      </c>
      <c r="AL313" s="613">
        <f t="shared" si="551"/>
        <v>0</v>
      </c>
      <c r="AM313" s="612">
        <f t="shared" si="551"/>
        <v>14667027</v>
      </c>
      <c r="AN313" s="502">
        <f t="shared" si="551"/>
        <v>10880584</v>
      </c>
      <c r="AO313" s="549">
        <f t="shared" si="551"/>
        <v>0</v>
      </c>
      <c r="AP313" s="502">
        <f t="shared" si="551"/>
        <v>3677637</v>
      </c>
      <c r="AQ313" s="502">
        <f t="shared" si="551"/>
        <v>108806</v>
      </c>
      <c r="AR313" s="502">
        <f t="shared" si="551"/>
        <v>0</v>
      </c>
      <c r="AS313" s="613">
        <f t="shared" si="551"/>
        <v>20.64</v>
      </c>
    </row>
    <row r="314" spans="1:45" ht="14.1" customHeight="1" x14ac:dyDescent="0.2">
      <c r="A314" s="499">
        <v>78</v>
      </c>
      <c r="B314" s="511">
        <v>2325</v>
      </c>
      <c r="C314" s="512">
        <v>600074561</v>
      </c>
      <c r="D314" s="511">
        <v>46750321</v>
      </c>
      <c r="E314" s="510" t="s">
        <v>668</v>
      </c>
      <c r="F314" s="499">
        <v>3113</v>
      </c>
      <c r="G314" s="510" t="s">
        <v>280</v>
      </c>
      <c r="H314" s="495" t="s">
        <v>262</v>
      </c>
      <c r="I314" s="610">
        <v>25546092</v>
      </c>
      <c r="J314" s="14">
        <v>18951107</v>
      </c>
      <c r="K314" s="14">
        <v>0</v>
      </c>
      <c r="L314" s="14">
        <v>6405474</v>
      </c>
      <c r="M314" s="14">
        <v>189511</v>
      </c>
      <c r="N314" s="14">
        <v>0</v>
      </c>
      <c r="O314" s="121">
        <v>26.302700000000002</v>
      </c>
      <c r="P314" s="676">
        <f t="shared" si="477"/>
        <v>0</v>
      </c>
      <c r="Q314" s="492">
        <v>0</v>
      </c>
      <c r="R314" s="492">
        <v>0</v>
      </c>
      <c r="S314" s="492">
        <v>0</v>
      </c>
      <c r="T314" s="492">
        <v>0</v>
      </c>
      <c r="U314" s="492">
        <v>0</v>
      </c>
      <c r="V314" s="492">
        <f>P314+Q314+R314+S314+T314+U314</f>
        <v>0</v>
      </c>
      <c r="W314" s="492">
        <v>0</v>
      </c>
      <c r="X314" s="492">
        <v>0</v>
      </c>
      <c r="Y314" s="492">
        <v>0</v>
      </c>
      <c r="Z314" s="492">
        <f t="shared" ref="Z314:Z318" si="552">W314+X314+Y314</f>
        <v>0</v>
      </c>
      <c r="AA314" s="492">
        <f t="shared" ref="AA314:AA318" si="553">V314+Z314</f>
        <v>0</v>
      </c>
      <c r="AB314" s="494">
        <f t="shared" ref="AB314:AB318" si="554">ROUND((V314+Z314)*33.8%,0)</f>
        <v>0</v>
      </c>
      <c r="AC314" s="494">
        <f t="shared" ref="AC314:AC318" si="555">ROUND(V314*1%,0)</f>
        <v>0</v>
      </c>
      <c r="AD314" s="14">
        <v>0</v>
      </c>
      <c r="AE314" s="753">
        <f t="shared" si="483"/>
        <v>0</v>
      </c>
      <c r="AF314" s="858">
        <v>0</v>
      </c>
      <c r="AG314" s="491">
        <v>0</v>
      </c>
      <c r="AH314" s="491">
        <v>0</v>
      </c>
      <c r="AI314" s="491">
        <v>0</v>
      </c>
      <c r="AJ314" s="491">
        <v>0</v>
      </c>
      <c r="AK314" s="491">
        <v>0</v>
      </c>
      <c r="AL314" s="609">
        <f>SUM(AF314:AK314)</f>
        <v>0</v>
      </c>
      <c r="AM314" s="676">
        <f>I314+AE314</f>
        <v>25546092</v>
      </c>
      <c r="AN314" s="492">
        <f>J314+V314</f>
        <v>18951107</v>
      </c>
      <c r="AO314" s="492">
        <f t="shared" ref="AO314:AO318" si="556">K314+Z314</f>
        <v>0</v>
      </c>
      <c r="AP314" s="492">
        <f t="shared" ref="AP314:AR318" si="557">L314+AB314</f>
        <v>6405474</v>
      </c>
      <c r="AQ314" s="492">
        <f t="shared" si="557"/>
        <v>189511</v>
      </c>
      <c r="AR314" s="573">
        <f t="shared" si="557"/>
        <v>0</v>
      </c>
      <c r="AS314" s="609">
        <f>O314+AL314</f>
        <v>26.302700000000002</v>
      </c>
    </row>
    <row r="315" spans="1:45" ht="14.1" customHeight="1" x14ac:dyDescent="0.2">
      <c r="A315" s="499">
        <v>78</v>
      </c>
      <c r="B315" s="511">
        <v>2325</v>
      </c>
      <c r="C315" s="512">
        <v>600074561</v>
      </c>
      <c r="D315" s="511">
        <v>46750321</v>
      </c>
      <c r="E315" s="510" t="s">
        <v>668</v>
      </c>
      <c r="F315" s="499">
        <v>3113</v>
      </c>
      <c r="G315" s="510" t="s">
        <v>799</v>
      </c>
      <c r="H315" s="495" t="s">
        <v>262</v>
      </c>
      <c r="I315" s="610">
        <v>634036</v>
      </c>
      <c r="J315" s="14">
        <v>470353</v>
      </c>
      <c r="K315" s="14">
        <v>0</v>
      </c>
      <c r="L315" s="14">
        <v>158979</v>
      </c>
      <c r="M315" s="14">
        <v>4704</v>
      </c>
      <c r="N315" s="14">
        <v>0</v>
      </c>
      <c r="O315" s="121">
        <v>0.95</v>
      </c>
      <c r="P315" s="676">
        <f t="shared" si="477"/>
        <v>0</v>
      </c>
      <c r="Q315" s="492">
        <v>0</v>
      </c>
      <c r="R315" s="492">
        <v>0</v>
      </c>
      <c r="S315" s="492">
        <v>0</v>
      </c>
      <c r="T315" s="492">
        <v>0</v>
      </c>
      <c r="U315" s="492">
        <v>0</v>
      </c>
      <c r="V315" s="492">
        <f>P315+Q315+R315+S315+T315+U315</f>
        <v>0</v>
      </c>
      <c r="W315" s="492">
        <v>0</v>
      </c>
      <c r="X315" s="492">
        <v>0</v>
      </c>
      <c r="Y315" s="492">
        <v>0</v>
      </c>
      <c r="Z315" s="492">
        <f t="shared" ref="Z315" si="558">W315+X315+Y315</f>
        <v>0</v>
      </c>
      <c r="AA315" s="492">
        <f t="shared" ref="AA315" si="559">V315+Z315</f>
        <v>0</v>
      </c>
      <c r="AB315" s="494">
        <f t="shared" ref="AB315" si="560">ROUND((V315+Z315)*33.8%,0)</f>
        <v>0</v>
      </c>
      <c r="AC315" s="494">
        <f t="shared" ref="AC315" si="561">ROUND(V315*1%,0)</f>
        <v>0</v>
      </c>
      <c r="AD315" s="14">
        <v>0</v>
      </c>
      <c r="AE315" s="753">
        <f t="shared" si="483"/>
        <v>0</v>
      </c>
      <c r="AF315" s="858">
        <v>0</v>
      </c>
      <c r="AG315" s="491">
        <v>0</v>
      </c>
      <c r="AH315" s="491">
        <v>0</v>
      </c>
      <c r="AI315" s="491">
        <v>0</v>
      </c>
      <c r="AJ315" s="491">
        <v>0</v>
      </c>
      <c r="AK315" s="491">
        <v>0</v>
      </c>
      <c r="AL315" s="609">
        <f>SUM(AF315:AK315)</f>
        <v>0</v>
      </c>
      <c r="AM315" s="676">
        <f>I315+AE315</f>
        <v>634036</v>
      </c>
      <c r="AN315" s="492">
        <f>J315+V315</f>
        <v>470353</v>
      </c>
      <c r="AO315" s="492">
        <f t="shared" si="556"/>
        <v>0</v>
      </c>
      <c r="AP315" s="492">
        <f t="shared" si="557"/>
        <v>158979</v>
      </c>
      <c r="AQ315" s="492">
        <f t="shared" si="557"/>
        <v>4704</v>
      </c>
      <c r="AR315" s="573">
        <f t="shared" si="557"/>
        <v>0</v>
      </c>
      <c r="AS315" s="609">
        <f>O315+AL315</f>
        <v>0.95</v>
      </c>
    </row>
    <row r="316" spans="1:45" ht="14.1" customHeight="1" x14ac:dyDescent="0.2">
      <c r="A316" s="499">
        <v>78</v>
      </c>
      <c r="B316" s="511">
        <v>2325</v>
      </c>
      <c r="C316" s="512">
        <v>600074561</v>
      </c>
      <c r="D316" s="511">
        <v>46750321</v>
      </c>
      <c r="E316" s="510" t="s">
        <v>668</v>
      </c>
      <c r="F316" s="499">
        <v>3113</v>
      </c>
      <c r="G316" s="513" t="s">
        <v>278</v>
      </c>
      <c r="H316" s="495" t="s">
        <v>263</v>
      </c>
      <c r="I316" s="610">
        <v>3533966</v>
      </c>
      <c r="J316" s="490">
        <v>2621637</v>
      </c>
      <c r="K316" s="490">
        <v>0</v>
      </c>
      <c r="L316" s="14">
        <v>886113</v>
      </c>
      <c r="M316" s="14">
        <v>26216</v>
      </c>
      <c r="N316" s="14">
        <v>0</v>
      </c>
      <c r="O316" s="664">
        <v>6.49</v>
      </c>
      <c r="P316" s="676">
        <f t="shared" si="477"/>
        <v>0</v>
      </c>
      <c r="Q316" s="492">
        <v>293964</v>
      </c>
      <c r="R316" s="492">
        <v>0</v>
      </c>
      <c r="S316" s="492">
        <v>0</v>
      </c>
      <c r="T316" s="492">
        <v>0</v>
      </c>
      <c r="U316" s="492">
        <v>0</v>
      </c>
      <c r="V316" s="492">
        <f>P316+Q316+R316+S316+T316+U316</f>
        <v>293964</v>
      </c>
      <c r="W316" s="492">
        <v>0</v>
      </c>
      <c r="X316" s="492">
        <v>0</v>
      </c>
      <c r="Y316" s="492">
        <v>0</v>
      </c>
      <c r="Z316" s="492">
        <f t="shared" si="552"/>
        <v>0</v>
      </c>
      <c r="AA316" s="492">
        <f t="shared" si="553"/>
        <v>293964</v>
      </c>
      <c r="AB316" s="494">
        <f t="shared" si="554"/>
        <v>99360</v>
      </c>
      <c r="AC316" s="494">
        <f t="shared" si="555"/>
        <v>2940</v>
      </c>
      <c r="AD316" s="14">
        <v>0</v>
      </c>
      <c r="AE316" s="753">
        <f t="shared" si="483"/>
        <v>396264</v>
      </c>
      <c r="AF316" s="858">
        <v>0</v>
      </c>
      <c r="AG316" s="491">
        <v>0.74</v>
      </c>
      <c r="AH316" s="491">
        <v>0</v>
      </c>
      <c r="AI316" s="491">
        <v>0</v>
      </c>
      <c r="AJ316" s="491">
        <v>0</v>
      </c>
      <c r="AK316" s="491">
        <v>0</v>
      </c>
      <c r="AL316" s="609">
        <f>SUM(AF316:AK316)</f>
        <v>0.74</v>
      </c>
      <c r="AM316" s="676">
        <f>I316+AE316</f>
        <v>3930230</v>
      </c>
      <c r="AN316" s="492">
        <f>J316+V316</f>
        <v>2915601</v>
      </c>
      <c r="AO316" s="492">
        <f t="shared" si="556"/>
        <v>0</v>
      </c>
      <c r="AP316" s="492">
        <f t="shared" si="557"/>
        <v>985473</v>
      </c>
      <c r="AQ316" s="492">
        <f t="shared" si="557"/>
        <v>29156</v>
      </c>
      <c r="AR316" s="573">
        <f t="shared" si="557"/>
        <v>0</v>
      </c>
      <c r="AS316" s="609">
        <f>O316+AL316</f>
        <v>7.23</v>
      </c>
    </row>
    <row r="317" spans="1:45" ht="14.1" customHeight="1" x14ac:dyDescent="0.2">
      <c r="A317" s="499">
        <v>78</v>
      </c>
      <c r="B317" s="511">
        <v>2325</v>
      </c>
      <c r="C317" s="512">
        <v>600074561</v>
      </c>
      <c r="D317" s="511">
        <v>46750321</v>
      </c>
      <c r="E317" s="510" t="s">
        <v>668</v>
      </c>
      <c r="F317" s="499">
        <v>3143</v>
      </c>
      <c r="G317" s="513" t="s">
        <v>794</v>
      </c>
      <c r="H317" s="495" t="s">
        <v>262</v>
      </c>
      <c r="I317" s="610">
        <v>2923013</v>
      </c>
      <c r="J317" s="14">
        <v>2138630</v>
      </c>
      <c r="K317" s="14">
        <v>30000</v>
      </c>
      <c r="L317" s="14">
        <v>732997</v>
      </c>
      <c r="M317" s="14">
        <v>21386</v>
      </c>
      <c r="N317" s="14">
        <v>0</v>
      </c>
      <c r="O317" s="121">
        <v>4.5</v>
      </c>
      <c r="P317" s="676">
        <f t="shared" si="477"/>
        <v>0</v>
      </c>
      <c r="Q317" s="492">
        <v>0</v>
      </c>
      <c r="R317" s="492">
        <v>0</v>
      </c>
      <c r="S317" s="492">
        <v>0</v>
      </c>
      <c r="T317" s="492">
        <v>0</v>
      </c>
      <c r="U317" s="492">
        <v>0</v>
      </c>
      <c r="V317" s="492">
        <f>P317+Q317+R317+S317+T317+U317</f>
        <v>0</v>
      </c>
      <c r="W317" s="492">
        <v>0</v>
      </c>
      <c r="X317" s="492">
        <v>0</v>
      </c>
      <c r="Y317" s="492">
        <v>0</v>
      </c>
      <c r="Z317" s="492">
        <f t="shared" si="552"/>
        <v>0</v>
      </c>
      <c r="AA317" s="492">
        <f t="shared" si="553"/>
        <v>0</v>
      </c>
      <c r="AB317" s="494">
        <f t="shared" si="554"/>
        <v>0</v>
      </c>
      <c r="AC317" s="494">
        <f t="shared" si="555"/>
        <v>0</v>
      </c>
      <c r="AD317" s="14">
        <v>0</v>
      </c>
      <c r="AE317" s="753">
        <f t="shared" si="483"/>
        <v>0</v>
      </c>
      <c r="AF317" s="858">
        <v>0</v>
      </c>
      <c r="AG317" s="491">
        <v>0</v>
      </c>
      <c r="AH317" s="491">
        <v>0</v>
      </c>
      <c r="AI317" s="491">
        <v>0</v>
      </c>
      <c r="AJ317" s="491">
        <v>0</v>
      </c>
      <c r="AK317" s="491">
        <v>0</v>
      </c>
      <c r="AL317" s="609">
        <f>SUM(AF317:AK317)</f>
        <v>0</v>
      </c>
      <c r="AM317" s="676">
        <f>I317+AE317</f>
        <v>2923013</v>
      </c>
      <c r="AN317" s="492">
        <f>J317+V317</f>
        <v>2138630</v>
      </c>
      <c r="AO317" s="492">
        <f t="shared" si="556"/>
        <v>30000</v>
      </c>
      <c r="AP317" s="492">
        <f t="shared" si="557"/>
        <v>732997</v>
      </c>
      <c r="AQ317" s="492">
        <f t="shared" si="557"/>
        <v>21386</v>
      </c>
      <c r="AR317" s="573">
        <f t="shared" si="557"/>
        <v>0</v>
      </c>
      <c r="AS317" s="609">
        <f>O317+AL317</f>
        <v>4.5</v>
      </c>
    </row>
    <row r="318" spans="1:45" ht="14.1" customHeight="1" x14ac:dyDescent="0.2">
      <c r="A318" s="499">
        <v>78</v>
      </c>
      <c r="B318" s="511">
        <v>2325</v>
      </c>
      <c r="C318" s="512">
        <v>600074561</v>
      </c>
      <c r="D318" s="511">
        <v>46750321</v>
      </c>
      <c r="E318" s="510" t="s">
        <v>668</v>
      </c>
      <c r="F318" s="499">
        <v>3231</v>
      </c>
      <c r="G318" s="510" t="s">
        <v>281</v>
      </c>
      <c r="H318" s="495" t="s">
        <v>262</v>
      </c>
      <c r="I318" s="610">
        <v>3663369</v>
      </c>
      <c r="J318" s="14">
        <v>2717633</v>
      </c>
      <c r="K318" s="14">
        <v>0</v>
      </c>
      <c r="L318" s="14">
        <v>918560</v>
      </c>
      <c r="M318" s="14">
        <v>27176</v>
      </c>
      <c r="N318" s="14">
        <v>0</v>
      </c>
      <c r="O318" s="664">
        <v>4.0281000000000002</v>
      </c>
      <c r="P318" s="676">
        <f t="shared" si="477"/>
        <v>0</v>
      </c>
      <c r="Q318" s="492">
        <v>0</v>
      </c>
      <c r="R318" s="492">
        <v>0</v>
      </c>
      <c r="S318" s="492">
        <v>0</v>
      </c>
      <c r="T318" s="492">
        <v>0</v>
      </c>
      <c r="U318" s="492">
        <v>0</v>
      </c>
      <c r="V318" s="492">
        <f>P318+Q318+R318+S318+T318+U318</f>
        <v>0</v>
      </c>
      <c r="W318" s="492">
        <v>0</v>
      </c>
      <c r="X318" s="492">
        <v>0</v>
      </c>
      <c r="Y318" s="492">
        <v>0</v>
      </c>
      <c r="Z318" s="492">
        <f t="shared" si="552"/>
        <v>0</v>
      </c>
      <c r="AA318" s="492">
        <f t="shared" si="553"/>
        <v>0</v>
      </c>
      <c r="AB318" s="494">
        <f t="shared" si="554"/>
        <v>0</v>
      </c>
      <c r="AC318" s="494">
        <f t="shared" si="555"/>
        <v>0</v>
      </c>
      <c r="AD318" s="14">
        <v>0</v>
      </c>
      <c r="AE318" s="753">
        <f t="shared" si="483"/>
        <v>0</v>
      </c>
      <c r="AF318" s="858">
        <v>0</v>
      </c>
      <c r="AG318" s="491">
        <v>0</v>
      </c>
      <c r="AH318" s="491">
        <v>0</v>
      </c>
      <c r="AI318" s="491">
        <v>0</v>
      </c>
      <c r="AJ318" s="491">
        <v>0</v>
      </c>
      <c r="AK318" s="491">
        <v>0</v>
      </c>
      <c r="AL318" s="609">
        <f>SUM(AF318:AK318)</f>
        <v>0</v>
      </c>
      <c r="AM318" s="676">
        <f>I318+AE318</f>
        <v>3663369</v>
      </c>
      <c r="AN318" s="492">
        <f>J318+V318</f>
        <v>2717633</v>
      </c>
      <c r="AO318" s="492">
        <f t="shared" si="556"/>
        <v>0</v>
      </c>
      <c r="AP318" s="492">
        <f t="shared" si="557"/>
        <v>918560</v>
      </c>
      <c r="AQ318" s="492">
        <f t="shared" si="557"/>
        <v>27176</v>
      </c>
      <c r="AR318" s="573">
        <f t="shared" si="557"/>
        <v>0</v>
      </c>
      <c r="AS318" s="609">
        <f>O318+AL318</f>
        <v>4.0281000000000002</v>
      </c>
    </row>
    <row r="319" spans="1:45" ht="14.1" customHeight="1" x14ac:dyDescent="0.2">
      <c r="A319" s="509">
        <v>78</v>
      </c>
      <c r="B319" s="507">
        <v>2325</v>
      </c>
      <c r="C319" s="508">
        <v>600074561</v>
      </c>
      <c r="D319" s="507">
        <v>46750321</v>
      </c>
      <c r="E319" s="505" t="s">
        <v>669</v>
      </c>
      <c r="F319" s="509"/>
      <c r="G319" s="505"/>
      <c r="H319" s="504"/>
      <c r="I319" s="615">
        <v>36300476</v>
      </c>
      <c r="J319" s="517">
        <v>26899360</v>
      </c>
      <c r="K319" s="517">
        <v>30000</v>
      </c>
      <c r="L319" s="517">
        <v>9102123</v>
      </c>
      <c r="M319" s="517">
        <v>268993</v>
      </c>
      <c r="N319" s="517">
        <v>0</v>
      </c>
      <c r="O319" s="838">
        <v>42.270800000000001</v>
      </c>
      <c r="P319" s="615">
        <f t="shared" ref="P319:AS319" si="562">SUM(P314:P318)</f>
        <v>0</v>
      </c>
      <c r="Q319" s="516">
        <f t="shared" si="562"/>
        <v>293964</v>
      </c>
      <c r="R319" s="516">
        <f t="shared" si="562"/>
        <v>0</v>
      </c>
      <c r="S319" s="516">
        <f t="shared" si="562"/>
        <v>0</v>
      </c>
      <c r="T319" s="516">
        <f t="shared" si="562"/>
        <v>0</v>
      </c>
      <c r="U319" s="516">
        <f t="shared" si="562"/>
        <v>0</v>
      </c>
      <c r="V319" s="516">
        <f t="shared" si="562"/>
        <v>293964</v>
      </c>
      <c r="W319" s="516">
        <f t="shared" si="562"/>
        <v>0</v>
      </c>
      <c r="X319" s="516">
        <f t="shared" si="562"/>
        <v>0</v>
      </c>
      <c r="Y319" s="516">
        <f t="shared" si="562"/>
        <v>0</v>
      </c>
      <c r="Z319" s="516">
        <f t="shared" si="562"/>
        <v>0</v>
      </c>
      <c r="AA319" s="516">
        <f t="shared" si="562"/>
        <v>293964</v>
      </c>
      <c r="AB319" s="516">
        <f t="shared" si="562"/>
        <v>99360</v>
      </c>
      <c r="AC319" s="516">
        <f t="shared" si="562"/>
        <v>2940</v>
      </c>
      <c r="AD319" s="516">
        <f t="shared" si="562"/>
        <v>0</v>
      </c>
      <c r="AE319" s="853">
        <f t="shared" si="562"/>
        <v>396264</v>
      </c>
      <c r="AF319" s="859">
        <f t="shared" si="562"/>
        <v>0</v>
      </c>
      <c r="AG319" s="849">
        <f t="shared" si="562"/>
        <v>0.74</v>
      </c>
      <c r="AH319" s="849">
        <f t="shared" si="562"/>
        <v>0</v>
      </c>
      <c r="AI319" s="849">
        <f t="shared" si="562"/>
        <v>0</v>
      </c>
      <c r="AJ319" s="849">
        <f t="shared" si="562"/>
        <v>0</v>
      </c>
      <c r="AK319" s="849">
        <f t="shared" si="562"/>
        <v>0</v>
      </c>
      <c r="AL319" s="616">
        <f t="shared" si="562"/>
        <v>0.74</v>
      </c>
      <c r="AM319" s="615">
        <f t="shared" si="562"/>
        <v>36696740</v>
      </c>
      <c r="AN319" s="516">
        <f t="shared" si="562"/>
        <v>27193324</v>
      </c>
      <c r="AO319" s="550">
        <f t="shared" si="562"/>
        <v>30000</v>
      </c>
      <c r="AP319" s="516">
        <f t="shared" si="562"/>
        <v>9201483</v>
      </c>
      <c r="AQ319" s="516">
        <f t="shared" si="562"/>
        <v>271933</v>
      </c>
      <c r="AR319" s="516">
        <f t="shared" si="562"/>
        <v>0</v>
      </c>
      <c r="AS319" s="616">
        <f t="shared" si="562"/>
        <v>43.010800000000003</v>
      </c>
    </row>
    <row r="320" spans="1:45" ht="14.1" customHeight="1" x14ac:dyDescent="0.2">
      <c r="A320" s="499">
        <v>79</v>
      </c>
      <c r="B320" s="511">
        <v>2329</v>
      </c>
      <c r="C320" s="512">
        <v>691007331</v>
      </c>
      <c r="D320" s="511">
        <v>71294171</v>
      </c>
      <c r="E320" s="510" t="s">
        <v>736</v>
      </c>
      <c r="F320" s="499">
        <v>3114</v>
      </c>
      <c r="G320" s="117" t="s">
        <v>511</v>
      </c>
      <c r="H320" s="495" t="s">
        <v>262</v>
      </c>
      <c r="I320" s="610">
        <v>7431414</v>
      </c>
      <c r="J320" s="14">
        <v>5512917</v>
      </c>
      <c r="K320" s="14">
        <v>0</v>
      </c>
      <c r="L320" s="14">
        <v>1863367</v>
      </c>
      <c r="M320" s="14">
        <v>55130</v>
      </c>
      <c r="N320" s="14">
        <v>0</v>
      </c>
      <c r="O320" s="121">
        <v>6.9090999999999996</v>
      </c>
      <c r="P320" s="676">
        <f t="shared" si="477"/>
        <v>0</v>
      </c>
      <c r="Q320" s="492">
        <v>0</v>
      </c>
      <c r="R320" s="492">
        <v>0</v>
      </c>
      <c r="S320" s="492">
        <v>0</v>
      </c>
      <c r="T320" s="492">
        <v>0</v>
      </c>
      <c r="U320" s="492">
        <v>0</v>
      </c>
      <c r="V320" s="492">
        <f>P320+Q320+R320+S320+T320+U320</f>
        <v>0</v>
      </c>
      <c r="W320" s="492">
        <v>0</v>
      </c>
      <c r="X320" s="492">
        <v>0</v>
      </c>
      <c r="Y320" s="492">
        <v>0</v>
      </c>
      <c r="Z320" s="492">
        <f t="shared" ref="Z320:Z323" si="563">W320+X320+Y320</f>
        <v>0</v>
      </c>
      <c r="AA320" s="492">
        <f t="shared" ref="AA320:AA323" si="564">V320+Z320</f>
        <v>0</v>
      </c>
      <c r="AB320" s="494">
        <f t="shared" ref="AB320:AB323" si="565">ROUND((V320+Z320)*33.8%,0)</f>
        <v>0</v>
      </c>
      <c r="AC320" s="494">
        <f t="shared" ref="AC320:AC323" si="566">ROUND(V320*1%,0)</f>
        <v>0</v>
      </c>
      <c r="AD320" s="14">
        <v>0</v>
      </c>
      <c r="AE320" s="753">
        <f t="shared" si="483"/>
        <v>0</v>
      </c>
      <c r="AF320" s="858">
        <v>0</v>
      </c>
      <c r="AG320" s="491">
        <v>0</v>
      </c>
      <c r="AH320" s="491">
        <v>0</v>
      </c>
      <c r="AI320" s="491">
        <v>0</v>
      </c>
      <c r="AJ320" s="491">
        <v>0</v>
      </c>
      <c r="AK320" s="491">
        <v>0</v>
      </c>
      <c r="AL320" s="609">
        <f>SUM(AF320:AK320)</f>
        <v>0</v>
      </c>
      <c r="AM320" s="676">
        <f>I320+AE320</f>
        <v>7431414</v>
      </c>
      <c r="AN320" s="492">
        <f>J320+V320</f>
        <v>5512917</v>
      </c>
      <c r="AO320" s="492">
        <f t="shared" ref="AO320:AO323" si="567">K320+Z320</f>
        <v>0</v>
      </c>
      <c r="AP320" s="492">
        <f t="shared" ref="AP320:AR323" si="568">L320+AB320</f>
        <v>1863367</v>
      </c>
      <c r="AQ320" s="492">
        <f t="shared" si="568"/>
        <v>55130</v>
      </c>
      <c r="AR320" s="573">
        <f t="shared" si="568"/>
        <v>0</v>
      </c>
      <c r="AS320" s="609">
        <f>O320+AL320</f>
        <v>6.9090999999999996</v>
      </c>
    </row>
    <row r="321" spans="1:45" ht="14.1" customHeight="1" x14ac:dyDescent="0.2">
      <c r="A321" s="499">
        <v>79</v>
      </c>
      <c r="B321" s="511">
        <v>2329</v>
      </c>
      <c r="C321" s="512">
        <v>691007331</v>
      </c>
      <c r="D321" s="511">
        <v>71294171</v>
      </c>
      <c r="E321" s="510" t="s">
        <v>736</v>
      </c>
      <c r="F321" s="499">
        <v>3114</v>
      </c>
      <c r="G321" s="39" t="s">
        <v>279</v>
      </c>
      <c r="H321" s="495" t="s">
        <v>262</v>
      </c>
      <c r="I321" s="610">
        <v>1722888</v>
      </c>
      <c r="J321" s="14">
        <v>1278107</v>
      </c>
      <c r="K321" s="14">
        <v>0</v>
      </c>
      <c r="L321" s="14">
        <v>432000</v>
      </c>
      <c r="M321" s="14">
        <v>12781</v>
      </c>
      <c r="N321" s="14">
        <v>0</v>
      </c>
      <c r="O321" s="121">
        <v>2.9167000000000001</v>
      </c>
      <c r="P321" s="676">
        <f t="shared" si="477"/>
        <v>0</v>
      </c>
      <c r="Q321" s="492">
        <v>0</v>
      </c>
      <c r="R321" s="492">
        <v>0</v>
      </c>
      <c r="S321" s="492">
        <v>0</v>
      </c>
      <c r="T321" s="492">
        <v>0</v>
      </c>
      <c r="U321" s="492">
        <v>0</v>
      </c>
      <c r="V321" s="492">
        <f>P321+Q321+R321+S321+T321+U321</f>
        <v>0</v>
      </c>
      <c r="W321" s="492">
        <v>0</v>
      </c>
      <c r="X321" s="492">
        <v>0</v>
      </c>
      <c r="Y321" s="492">
        <v>0</v>
      </c>
      <c r="Z321" s="492">
        <f t="shared" si="563"/>
        <v>0</v>
      </c>
      <c r="AA321" s="492">
        <f t="shared" si="564"/>
        <v>0</v>
      </c>
      <c r="AB321" s="494">
        <f t="shared" si="565"/>
        <v>0</v>
      </c>
      <c r="AC321" s="494">
        <f t="shared" si="566"/>
        <v>0</v>
      </c>
      <c r="AD321" s="14">
        <v>0</v>
      </c>
      <c r="AE321" s="753">
        <f t="shared" si="483"/>
        <v>0</v>
      </c>
      <c r="AF321" s="858">
        <v>0</v>
      </c>
      <c r="AG321" s="491">
        <v>0</v>
      </c>
      <c r="AH321" s="491">
        <v>0</v>
      </c>
      <c r="AI321" s="491">
        <v>0</v>
      </c>
      <c r="AJ321" s="491">
        <v>0</v>
      </c>
      <c r="AK321" s="491">
        <v>0</v>
      </c>
      <c r="AL321" s="609">
        <f>SUM(AF321:AK321)</f>
        <v>0</v>
      </c>
      <c r="AM321" s="676">
        <f>I321+AE321</f>
        <v>1722888</v>
      </c>
      <c r="AN321" s="492">
        <f>J321+V321</f>
        <v>1278107</v>
      </c>
      <c r="AO321" s="492">
        <f t="shared" si="567"/>
        <v>0</v>
      </c>
      <c r="AP321" s="492">
        <f t="shared" si="568"/>
        <v>432000</v>
      </c>
      <c r="AQ321" s="492">
        <f t="shared" si="568"/>
        <v>12781</v>
      </c>
      <c r="AR321" s="573">
        <f t="shared" si="568"/>
        <v>0</v>
      </c>
      <c r="AS321" s="609">
        <f>O321+AL321</f>
        <v>2.9167000000000001</v>
      </c>
    </row>
    <row r="322" spans="1:45" ht="14.1" customHeight="1" x14ac:dyDescent="0.2">
      <c r="A322" s="499">
        <v>79</v>
      </c>
      <c r="B322" s="511">
        <v>2329</v>
      </c>
      <c r="C322" s="512">
        <v>691007331</v>
      </c>
      <c r="D322" s="511">
        <v>71294171</v>
      </c>
      <c r="E322" s="510" t="s">
        <v>736</v>
      </c>
      <c r="F322" s="499">
        <v>3114</v>
      </c>
      <c r="G322" s="513" t="s">
        <v>278</v>
      </c>
      <c r="H322" s="495" t="s">
        <v>263</v>
      </c>
      <c r="I322" s="610">
        <v>0</v>
      </c>
      <c r="J322" s="490">
        <v>0</v>
      </c>
      <c r="K322" s="490">
        <v>0</v>
      </c>
      <c r="L322" s="14">
        <v>0</v>
      </c>
      <c r="M322" s="14">
        <v>0</v>
      </c>
      <c r="N322" s="14">
        <v>0</v>
      </c>
      <c r="O322" s="664">
        <v>0</v>
      </c>
      <c r="P322" s="676">
        <f t="shared" si="477"/>
        <v>0</v>
      </c>
      <c r="Q322" s="492">
        <v>0</v>
      </c>
      <c r="R322" s="492">
        <v>0</v>
      </c>
      <c r="S322" s="492">
        <v>0</v>
      </c>
      <c r="T322" s="492">
        <v>0</v>
      </c>
      <c r="U322" s="492">
        <v>0</v>
      </c>
      <c r="V322" s="492">
        <f>P322+Q322+R322+S322+T322+U322</f>
        <v>0</v>
      </c>
      <c r="W322" s="492">
        <v>0</v>
      </c>
      <c r="X322" s="492">
        <v>0</v>
      </c>
      <c r="Y322" s="492">
        <v>0</v>
      </c>
      <c r="Z322" s="492">
        <f t="shared" si="563"/>
        <v>0</v>
      </c>
      <c r="AA322" s="492">
        <f t="shared" si="564"/>
        <v>0</v>
      </c>
      <c r="AB322" s="494">
        <f t="shared" si="565"/>
        <v>0</v>
      </c>
      <c r="AC322" s="494">
        <f t="shared" si="566"/>
        <v>0</v>
      </c>
      <c r="AD322" s="14">
        <v>0</v>
      </c>
      <c r="AE322" s="753">
        <f t="shared" si="483"/>
        <v>0</v>
      </c>
      <c r="AF322" s="858">
        <v>0</v>
      </c>
      <c r="AG322" s="491">
        <v>0</v>
      </c>
      <c r="AH322" s="491">
        <v>0</v>
      </c>
      <c r="AI322" s="491">
        <v>0</v>
      </c>
      <c r="AJ322" s="491">
        <v>0</v>
      </c>
      <c r="AK322" s="491">
        <v>0</v>
      </c>
      <c r="AL322" s="609">
        <f>SUM(AF322:AK322)</f>
        <v>0</v>
      </c>
      <c r="AM322" s="676">
        <f>I322+AE322</f>
        <v>0</v>
      </c>
      <c r="AN322" s="492">
        <f>J322+V322</f>
        <v>0</v>
      </c>
      <c r="AO322" s="492">
        <f t="shared" si="567"/>
        <v>0</v>
      </c>
      <c r="AP322" s="492">
        <f t="shared" si="568"/>
        <v>0</v>
      </c>
      <c r="AQ322" s="492">
        <f t="shared" si="568"/>
        <v>0</v>
      </c>
      <c r="AR322" s="573">
        <f t="shared" si="568"/>
        <v>0</v>
      </c>
      <c r="AS322" s="609">
        <f>O322+AL322</f>
        <v>0</v>
      </c>
    </row>
    <row r="323" spans="1:45" ht="14.1" customHeight="1" x14ac:dyDescent="0.2">
      <c r="A323" s="499">
        <v>79</v>
      </c>
      <c r="B323" s="511">
        <v>2329</v>
      </c>
      <c r="C323" s="512">
        <v>691007331</v>
      </c>
      <c r="D323" s="511">
        <v>71294171</v>
      </c>
      <c r="E323" s="510" t="s">
        <v>736</v>
      </c>
      <c r="F323" s="499">
        <v>3143</v>
      </c>
      <c r="G323" s="513" t="s">
        <v>794</v>
      </c>
      <c r="H323" s="495" t="s">
        <v>262</v>
      </c>
      <c r="I323" s="610">
        <v>566879</v>
      </c>
      <c r="J323" s="14">
        <v>420534</v>
      </c>
      <c r="K323" s="14">
        <v>0</v>
      </c>
      <c r="L323" s="14">
        <v>142140</v>
      </c>
      <c r="M323" s="14">
        <v>4205</v>
      </c>
      <c r="N323" s="14">
        <v>0</v>
      </c>
      <c r="O323" s="121">
        <v>0.75</v>
      </c>
      <c r="P323" s="676">
        <f t="shared" si="477"/>
        <v>0</v>
      </c>
      <c r="Q323" s="492">
        <v>0</v>
      </c>
      <c r="R323" s="492">
        <v>0</v>
      </c>
      <c r="S323" s="492">
        <v>0</v>
      </c>
      <c r="T323" s="492">
        <v>0</v>
      </c>
      <c r="U323" s="492">
        <v>0</v>
      </c>
      <c r="V323" s="492">
        <f>P323+Q323+R323+S323+T323+U323</f>
        <v>0</v>
      </c>
      <c r="W323" s="492">
        <v>0</v>
      </c>
      <c r="X323" s="492">
        <v>0</v>
      </c>
      <c r="Y323" s="492">
        <v>0</v>
      </c>
      <c r="Z323" s="492">
        <f t="shared" si="563"/>
        <v>0</v>
      </c>
      <c r="AA323" s="492">
        <f t="shared" si="564"/>
        <v>0</v>
      </c>
      <c r="AB323" s="494">
        <f t="shared" si="565"/>
        <v>0</v>
      </c>
      <c r="AC323" s="494">
        <f t="shared" si="566"/>
        <v>0</v>
      </c>
      <c r="AD323" s="14">
        <v>0</v>
      </c>
      <c r="AE323" s="753">
        <f t="shared" si="483"/>
        <v>0</v>
      </c>
      <c r="AF323" s="858">
        <v>0</v>
      </c>
      <c r="AG323" s="491">
        <v>0</v>
      </c>
      <c r="AH323" s="491">
        <v>0</v>
      </c>
      <c r="AI323" s="491">
        <v>0</v>
      </c>
      <c r="AJ323" s="491">
        <v>0</v>
      </c>
      <c r="AK323" s="491">
        <v>0</v>
      </c>
      <c r="AL323" s="609">
        <f>SUM(AF323:AK323)</f>
        <v>0</v>
      </c>
      <c r="AM323" s="676">
        <f>I323+AE323</f>
        <v>566879</v>
      </c>
      <c r="AN323" s="492">
        <f>J323+V323</f>
        <v>420534</v>
      </c>
      <c r="AO323" s="492">
        <f t="shared" si="567"/>
        <v>0</v>
      </c>
      <c r="AP323" s="492">
        <f t="shared" si="568"/>
        <v>142140</v>
      </c>
      <c r="AQ323" s="492">
        <f t="shared" si="568"/>
        <v>4205</v>
      </c>
      <c r="AR323" s="573">
        <f t="shared" si="568"/>
        <v>0</v>
      </c>
      <c r="AS323" s="609">
        <f>O323+AL323</f>
        <v>0.75</v>
      </c>
    </row>
    <row r="324" spans="1:45" ht="14.1" customHeight="1" x14ac:dyDescent="0.2">
      <c r="A324" s="509">
        <v>79</v>
      </c>
      <c r="B324" s="507">
        <v>2329</v>
      </c>
      <c r="C324" s="508">
        <v>691007331</v>
      </c>
      <c r="D324" s="507">
        <v>71294171</v>
      </c>
      <c r="E324" s="505" t="s">
        <v>756</v>
      </c>
      <c r="F324" s="509"/>
      <c r="G324" s="505"/>
      <c r="H324" s="504"/>
      <c r="I324" s="617">
        <v>9721181</v>
      </c>
      <c r="J324" s="515">
        <v>7211558</v>
      </c>
      <c r="K324" s="515">
        <v>0</v>
      </c>
      <c r="L324" s="515">
        <v>2437507</v>
      </c>
      <c r="M324" s="515">
        <v>72116</v>
      </c>
      <c r="N324" s="515">
        <v>0</v>
      </c>
      <c r="O324" s="839">
        <v>10.575799999999999</v>
      </c>
      <c r="P324" s="617">
        <f t="shared" ref="P324:AS324" si="569">SUM(P320:P323)</f>
        <v>0</v>
      </c>
      <c r="Q324" s="514">
        <f t="shared" si="569"/>
        <v>0</v>
      </c>
      <c r="R324" s="514">
        <f t="shared" si="569"/>
        <v>0</v>
      </c>
      <c r="S324" s="514">
        <f t="shared" si="569"/>
        <v>0</v>
      </c>
      <c r="T324" s="514">
        <f t="shared" si="569"/>
        <v>0</v>
      </c>
      <c r="U324" s="514">
        <f t="shared" si="569"/>
        <v>0</v>
      </c>
      <c r="V324" s="514">
        <f t="shared" si="569"/>
        <v>0</v>
      </c>
      <c r="W324" s="514">
        <f t="shared" si="569"/>
        <v>0</v>
      </c>
      <c r="X324" s="514">
        <f t="shared" si="569"/>
        <v>0</v>
      </c>
      <c r="Y324" s="514">
        <f t="shared" si="569"/>
        <v>0</v>
      </c>
      <c r="Z324" s="514">
        <f t="shared" si="569"/>
        <v>0</v>
      </c>
      <c r="AA324" s="514">
        <f t="shared" si="569"/>
        <v>0</v>
      </c>
      <c r="AB324" s="514">
        <f t="shared" si="569"/>
        <v>0</v>
      </c>
      <c r="AC324" s="514">
        <f t="shared" si="569"/>
        <v>0</v>
      </c>
      <c r="AD324" s="514">
        <f t="shared" si="569"/>
        <v>0</v>
      </c>
      <c r="AE324" s="854">
        <f t="shared" si="569"/>
        <v>0</v>
      </c>
      <c r="AF324" s="860">
        <f t="shared" si="569"/>
        <v>0</v>
      </c>
      <c r="AG324" s="850">
        <f t="shared" si="569"/>
        <v>0</v>
      </c>
      <c r="AH324" s="850">
        <f t="shared" si="569"/>
        <v>0</v>
      </c>
      <c r="AI324" s="850">
        <f t="shared" si="569"/>
        <v>0</v>
      </c>
      <c r="AJ324" s="850">
        <f t="shared" si="569"/>
        <v>0</v>
      </c>
      <c r="AK324" s="850">
        <f t="shared" si="569"/>
        <v>0</v>
      </c>
      <c r="AL324" s="618">
        <f t="shared" si="569"/>
        <v>0</v>
      </c>
      <c r="AM324" s="617">
        <f t="shared" si="569"/>
        <v>9721181</v>
      </c>
      <c r="AN324" s="514">
        <f t="shared" si="569"/>
        <v>7211558</v>
      </c>
      <c r="AO324" s="551">
        <f t="shared" si="569"/>
        <v>0</v>
      </c>
      <c r="AP324" s="514">
        <f t="shared" si="569"/>
        <v>2437507</v>
      </c>
      <c r="AQ324" s="514">
        <f t="shared" si="569"/>
        <v>72116</v>
      </c>
      <c r="AR324" s="514">
        <f t="shared" si="569"/>
        <v>0</v>
      </c>
      <c r="AS324" s="618">
        <f t="shared" si="569"/>
        <v>10.575799999999999</v>
      </c>
    </row>
    <row r="325" spans="1:45" ht="14.1" customHeight="1" x14ac:dyDescent="0.2">
      <c r="A325" s="499">
        <v>80</v>
      </c>
      <c r="B325" s="511">
        <v>2466</v>
      </c>
      <c r="C325" s="512">
        <v>600079821</v>
      </c>
      <c r="D325" s="511">
        <v>70695083</v>
      </c>
      <c r="E325" s="510" t="s">
        <v>767</v>
      </c>
      <c r="F325" s="499">
        <v>3111</v>
      </c>
      <c r="G325" s="510" t="s">
        <v>277</v>
      </c>
      <c r="H325" s="495" t="s">
        <v>262</v>
      </c>
      <c r="I325" s="610">
        <v>3026750</v>
      </c>
      <c r="J325" s="14">
        <v>2245363</v>
      </c>
      <c r="K325" s="14">
        <v>0</v>
      </c>
      <c r="L325" s="14">
        <v>758933</v>
      </c>
      <c r="M325" s="14">
        <v>22454</v>
      </c>
      <c r="N325" s="14">
        <v>0</v>
      </c>
      <c r="O325" s="121">
        <v>4</v>
      </c>
      <c r="P325" s="676">
        <f t="shared" si="477"/>
        <v>0</v>
      </c>
      <c r="Q325" s="492">
        <v>0</v>
      </c>
      <c r="R325" s="492">
        <v>0</v>
      </c>
      <c r="S325" s="492">
        <v>0</v>
      </c>
      <c r="T325" s="492">
        <v>0</v>
      </c>
      <c r="U325" s="492">
        <v>0</v>
      </c>
      <c r="V325" s="492">
        <f>P325+Q325+R325+S325+T325+U325</f>
        <v>0</v>
      </c>
      <c r="W325" s="492">
        <v>0</v>
      </c>
      <c r="X325" s="492">
        <v>0</v>
      </c>
      <c r="Y325" s="492">
        <v>0</v>
      </c>
      <c r="Z325" s="492">
        <f t="shared" ref="Z325:Z328" si="570">W325+X325+Y325</f>
        <v>0</v>
      </c>
      <c r="AA325" s="492">
        <f t="shared" ref="AA325:AA328" si="571">V325+Z325</f>
        <v>0</v>
      </c>
      <c r="AB325" s="494">
        <f t="shared" ref="AB325:AB328" si="572">ROUND((V325+Z325)*33.8%,0)</f>
        <v>0</v>
      </c>
      <c r="AC325" s="494">
        <f t="shared" ref="AC325:AC328" si="573">ROUND(V325*1%,0)</f>
        <v>0</v>
      </c>
      <c r="AD325" s="14">
        <v>0</v>
      </c>
      <c r="AE325" s="753">
        <f t="shared" si="483"/>
        <v>0</v>
      </c>
      <c r="AF325" s="858">
        <v>0</v>
      </c>
      <c r="AG325" s="491">
        <v>0</v>
      </c>
      <c r="AH325" s="491">
        <v>0</v>
      </c>
      <c r="AI325" s="491">
        <v>0</v>
      </c>
      <c r="AJ325" s="491">
        <v>0</v>
      </c>
      <c r="AK325" s="491">
        <v>0</v>
      </c>
      <c r="AL325" s="609">
        <f>SUM(AF325:AK325)</f>
        <v>0</v>
      </c>
      <c r="AM325" s="676">
        <f>I325+AE325</f>
        <v>3026750</v>
      </c>
      <c r="AN325" s="492">
        <f>J325+V325</f>
        <v>2245363</v>
      </c>
      <c r="AO325" s="492">
        <f t="shared" ref="AO325:AO328" si="574">K325+Z325</f>
        <v>0</v>
      </c>
      <c r="AP325" s="492">
        <f t="shared" ref="AP325:AR328" si="575">L325+AB325</f>
        <v>758933</v>
      </c>
      <c r="AQ325" s="492">
        <f t="shared" si="575"/>
        <v>22454</v>
      </c>
      <c r="AR325" s="573">
        <f t="shared" si="575"/>
        <v>0</v>
      </c>
      <c r="AS325" s="609">
        <f>O325+AL325</f>
        <v>4</v>
      </c>
    </row>
    <row r="326" spans="1:45" ht="14.1" customHeight="1" x14ac:dyDescent="0.2">
      <c r="A326" s="499">
        <v>80</v>
      </c>
      <c r="B326" s="511">
        <v>2466</v>
      </c>
      <c r="C326" s="512">
        <v>600079821</v>
      </c>
      <c r="D326" s="511">
        <v>70695083</v>
      </c>
      <c r="E326" s="510" t="s">
        <v>767</v>
      </c>
      <c r="F326" s="499">
        <v>3113</v>
      </c>
      <c r="G326" s="510" t="s">
        <v>280</v>
      </c>
      <c r="H326" s="495" t="s">
        <v>262</v>
      </c>
      <c r="I326" s="610">
        <v>8701270</v>
      </c>
      <c r="J326" s="14">
        <v>6147075</v>
      </c>
      <c r="K326" s="14">
        <v>310174</v>
      </c>
      <c r="L326" s="14">
        <v>2182550</v>
      </c>
      <c r="M326" s="14">
        <v>61471</v>
      </c>
      <c r="N326" s="14">
        <v>0</v>
      </c>
      <c r="O326" s="121">
        <v>9.8635999999999999</v>
      </c>
      <c r="P326" s="676">
        <f t="shared" si="477"/>
        <v>0</v>
      </c>
      <c r="Q326" s="492">
        <v>0</v>
      </c>
      <c r="R326" s="492">
        <v>0</v>
      </c>
      <c r="S326" s="492">
        <v>0</v>
      </c>
      <c r="T326" s="492">
        <v>0</v>
      </c>
      <c r="U326" s="492">
        <v>0</v>
      </c>
      <c r="V326" s="492">
        <f>P326+Q326+R326+S326+T326+U326</f>
        <v>0</v>
      </c>
      <c r="W326" s="492">
        <v>0</v>
      </c>
      <c r="X326" s="492">
        <v>0</v>
      </c>
      <c r="Y326" s="492">
        <v>0</v>
      </c>
      <c r="Z326" s="492">
        <f t="shared" si="570"/>
        <v>0</v>
      </c>
      <c r="AA326" s="492">
        <f t="shared" si="571"/>
        <v>0</v>
      </c>
      <c r="AB326" s="494">
        <f t="shared" si="572"/>
        <v>0</v>
      </c>
      <c r="AC326" s="494">
        <f t="shared" si="573"/>
        <v>0</v>
      </c>
      <c r="AD326" s="14">
        <v>0</v>
      </c>
      <c r="AE326" s="753">
        <f t="shared" si="483"/>
        <v>0</v>
      </c>
      <c r="AF326" s="858">
        <v>0</v>
      </c>
      <c r="AG326" s="491">
        <v>0</v>
      </c>
      <c r="AH326" s="491">
        <v>0</v>
      </c>
      <c r="AI326" s="491">
        <v>0</v>
      </c>
      <c r="AJ326" s="491">
        <v>0</v>
      </c>
      <c r="AK326" s="491">
        <v>0</v>
      </c>
      <c r="AL326" s="609">
        <f>SUM(AF326:AK326)</f>
        <v>0</v>
      </c>
      <c r="AM326" s="676">
        <f>I326+AE326</f>
        <v>8701270</v>
      </c>
      <c r="AN326" s="492">
        <f>J326+V326</f>
        <v>6147075</v>
      </c>
      <c r="AO326" s="492">
        <f t="shared" si="574"/>
        <v>310174</v>
      </c>
      <c r="AP326" s="492">
        <f t="shared" si="575"/>
        <v>2182550</v>
      </c>
      <c r="AQ326" s="492">
        <f t="shared" si="575"/>
        <v>61471</v>
      </c>
      <c r="AR326" s="573">
        <f t="shared" si="575"/>
        <v>0</v>
      </c>
      <c r="AS326" s="609">
        <f>O326+AL326</f>
        <v>9.8635999999999999</v>
      </c>
    </row>
    <row r="327" spans="1:45" ht="14.1" customHeight="1" x14ac:dyDescent="0.2">
      <c r="A327" s="499">
        <v>80</v>
      </c>
      <c r="B327" s="511">
        <v>2466</v>
      </c>
      <c r="C327" s="512">
        <v>600079821</v>
      </c>
      <c r="D327" s="511">
        <v>70695083</v>
      </c>
      <c r="E327" s="510" t="s">
        <v>767</v>
      </c>
      <c r="F327" s="499">
        <v>3113</v>
      </c>
      <c r="G327" s="513" t="s">
        <v>278</v>
      </c>
      <c r="H327" s="495" t="s">
        <v>263</v>
      </c>
      <c r="I327" s="610">
        <v>2677883</v>
      </c>
      <c r="J327" s="490">
        <v>1986560</v>
      </c>
      <c r="K327" s="490">
        <v>0</v>
      </c>
      <c r="L327" s="14">
        <v>671457</v>
      </c>
      <c r="M327" s="14">
        <v>19866</v>
      </c>
      <c r="N327" s="14">
        <v>0</v>
      </c>
      <c r="O327" s="664">
        <v>4.96</v>
      </c>
      <c r="P327" s="676">
        <f t="shared" si="477"/>
        <v>0</v>
      </c>
      <c r="Q327" s="492">
        <v>19868</v>
      </c>
      <c r="R327" s="492">
        <v>0</v>
      </c>
      <c r="S327" s="492">
        <v>0</v>
      </c>
      <c r="T327" s="492">
        <v>0</v>
      </c>
      <c r="U327" s="492">
        <v>0</v>
      </c>
      <c r="V327" s="492">
        <f>P327+Q327+R327+S327+T327+U327</f>
        <v>19868</v>
      </c>
      <c r="W327" s="492">
        <v>0</v>
      </c>
      <c r="X327" s="492">
        <v>0</v>
      </c>
      <c r="Y327" s="492">
        <v>0</v>
      </c>
      <c r="Z327" s="492">
        <f t="shared" si="570"/>
        <v>0</v>
      </c>
      <c r="AA327" s="492">
        <f t="shared" si="571"/>
        <v>19868</v>
      </c>
      <c r="AB327" s="494">
        <f t="shared" si="572"/>
        <v>6715</v>
      </c>
      <c r="AC327" s="494">
        <f t="shared" si="573"/>
        <v>199</v>
      </c>
      <c r="AD327" s="14">
        <v>0</v>
      </c>
      <c r="AE327" s="753">
        <f t="shared" si="483"/>
        <v>26782</v>
      </c>
      <c r="AF327" s="858">
        <v>0</v>
      </c>
      <c r="AG327" s="491">
        <v>0.04</v>
      </c>
      <c r="AH327" s="491">
        <v>0</v>
      </c>
      <c r="AI327" s="491">
        <v>0</v>
      </c>
      <c r="AJ327" s="491">
        <v>0</v>
      </c>
      <c r="AK327" s="491">
        <v>0</v>
      </c>
      <c r="AL327" s="609">
        <f>SUM(AF327:AK327)</f>
        <v>0.04</v>
      </c>
      <c r="AM327" s="676">
        <f>I327+AE327</f>
        <v>2704665</v>
      </c>
      <c r="AN327" s="492">
        <f>J327+V327</f>
        <v>2006428</v>
      </c>
      <c r="AO327" s="492">
        <f t="shared" si="574"/>
        <v>0</v>
      </c>
      <c r="AP327" s="492">
        <f t="shared" si="575"/>
        <v>678172</v>
      </c>
      <c r="AQ327" s="492">
        <f t="shared" si="575"/>
        <v>20065</v>
      </c>
      <c r="AR327" s="573">
        <f t="shared" si="575"/>
        <v>0</v>
      </c>
      <c r="AS327" s="609">
        <f>O327+AL327</f>
        <v>5</v>
      </c>
    </row>
    <row r="328" spans="1:45" ht="14.1" customHeight="1" x14ac:dyDescent="0.2">
      <c r="A328" s="499">
        <v>80</v>
      </c>
      <c r="B328" s="511">
        <v>2466</v>
      </c>
      <c r="C328" s="512">
        <v>600079821</v>
      </c>
      <c r="D328" s="511">
        <v>70695083</v>
      </c>
      <c r="E328" s="510" t="s">
        <v>767</v>
      </c>
      <c r="F328" s="499">
        <v>3143</v>
      </c>
      <c r="G328" s="513" t="s">
        <v>794</v>
      </c>
      <c r="H328" s="495" t="s">
        <v>262</v>
      </c>
      <c r="I328" s="610">
        <v>1256806</v>
      </c>
      <c r="J328" s="14">
        <v>932349</v>
      </c>
      <c r="K328" s="14">
        <v>0</v>
      </c>
      <c r="L328" s="14">
        <v>315134</v>
      </c>
      <c r="M328" s="14">
        <v>9323</v>
      </c>
      <c r="N328" s="14">
        <v>0</v>
      </c>
      <c r="O328" s="121">
        <v>1.8957999999999999</v>
      </c>
      <c r="P328" s="676">
        <f t="shared" si="477"/>
        <v>0</v>
      </c>
      <c r="Q328" s="492">
        <v>0</v>
      </c>
      <c r="R328" s="492">
        <v>0</v>
      </c>
      <c r="S328" s="492">
        <v>0</v>
      </c>
      <c r="T328" s="492">
        <v>0</v>
      </c>
      <c r="U328" s="492">
        <v>0</v>
      </c>
      <c r="V328" s="492">
        <f>P328+Q328+R328+S328+T328+U328</f>
        <v>0</v>
      </c>
      <c r="W328" s="492">
        <v>0</v>
      </c>
      <c r="X328" s="492">
        <v>0</v>
      </c>
      <c r="Y328" s="492">
        <v>0</v>
      </c>
      <c r="Z328" s="492">
        <f t="shared" si="570"/>
        <v>0</v>
      </c>
      <c r="AA328" s="492">
        <f t="shared" si="571"/>
        <v>0</v>
      </c>
      <c r="AB328" s="494">
        <f t="shared" si="572"/>
        <v>0</v>
      </c>
      <c r="AC328" s="494">
        <f t="shared" si="573"/>
        <v>0</v>
      </c>
      <c r="AD328" s="14">
        <v>0</v>
      </c>
      <c r="AE328" s="753">
        <f t="shared" si="483"/>
        <v>0</v>
      </c>
      <c r="AF328" s="858">
        <v>0</v>
      </c>
      <c r="AG328" s="491">
        <v>0</v>
      </c>
      <c r="AH328" s="491">
        <v>0</v>
      </c>
      <c r="AI328" s="491">
        <v>0</v>
      </c>
      <c r="AJ328" s="491">
        <v>0</v>
      </c>
      <c r="AK328" s="491">
        <v>0</v>
      </c>
      <c r="AL328" s="609">
        <f>SUM(AF328:AK328)</f>
        <v>0</v>
      </c>
      <c r="AM328" s="676">
        <f>I328+AE328</f>
        <v>1256806</v>
      </c>
      <c r="AN328" s="492">
        <f>J328+V328</f>
        <v>932349</v>
      </c>
      <c r="AO328" s="492">
        <f t="shared" si="574"/>
        <v>0</v>
      </c>
      <c r="AP328" s="492">
        <f t="shared" si="575"/>
        <v>315134</v>
      </c>
      <c r="AQ328" s="492">
        <f t="shared" si="575"/>
        <v>9323</v>
      </c>
      <c r="AR328" s="573">
        <f t="shared" si="575"/>
        <v>0</v>
      </c>
      <c r="AS328" s="609">
        <f>O328+AL328</f>
        <v>1.8957999999999999</v>
      </c>
    </row>
    <row r="329" spans="1:45" ht="14.1" customHeight="1" x14ac:dyDescent="0.2">
      <c r="A329" s="509">
        <v>80</v>
      </c>
      <c r="B329" s="507">
        <v>2466</v>
      </c>
      <c r="C329" s="508">
        <v>600079821</v>
      </c>
      <c r="D329" s="507">
        <v>70695083</v>
      </c>
      <c r="E329" s="505" t="s">
        <v>768</v>
      </c>
      <c r="F329" s="509"/>
      <c r="G329" s="505"/>
      <c r="H329" s="504"/>
      <c r="I329" s="612">
        <v>15662709</v>
      </c>
      <c r="J329" s="503">
        <v>11311347</v>
      </c>
      <c r="K329" s="503">
        <v>310174</v>
      </c>
      <c r="L329" s="503">
        <v>3928074</v>
      </c>
      <c r="M329" s="503">
        <v>113114</v>
      </c>
      <c r="N329" s="503">
        <v>0</v>
      </c>
      <c r="O329" s="837">
        <v>20.7194</v>
      </c>
      <c r="P329" s="612">
        <f t="shared" ref="P329:AS329" si="576">SUM(P325:P328)</f>
        <v>0</v>
      </c>
      <c r="Q329" s="502">
        <f t="shared" si="576"/>
        <v>19868</v>
      </c>
      <c r="R329" s="502">
        <f t="shared" si="576"/>
        <v>0</v>
      </c>
      <c r="S329" s="502">
        <f t="shared" si="576"/>
        <v>0</v>
      </c>
      <c r="T329" s="502">
        <f t="shared" si="576"/>
        <v>0</v>
      </c>
      <c r="U329" s="502">
        <f t="shared" si="576"/>
        <v>0</v>
      </c>
      <c r="V329" s="502">
        <f t="shared" si="576"/>
        <v>19868</v>
      </c>
      <c r="W329" s="502">
        <f t="shared" si="576"/>
        <v>0</v>
      </c>
      <c r="X329" s="502">
        <f t="shared" si="576"/>
        <v>0</v>
      </c>
      <c r="Y329" s="502">
        <f t="shared" si="576"/>
        <v>0</v>
      </c>
      <c r="Z329" s="502">
        <f t="shared" si="576"/>
        <v>0</v>
      </c>
      <c r="AA329" s="502">
        <f t="shared" si="576"/>
        <v>19868</v>
      </c>
      <c r="AB329" s="502">
        <f t="shared" si="576"/>
        <v>6715</v>
      </c>
      <c r="AC329" s="502">
        <f t="shared" si="576"/>
        <v>199</v>
      </c>
      <c r="AD329" s="502">
        <f t="shared" si="576"/>
        <v>0</v>
      </c>
      <c r="AE329" s="852">
        <f t="shared" si="576"/>
        <v>26782</v>
      </c>
      <c r="AF329" s="857">
        <f t="shared" si="576"/>
        <v>0</v>
      </c>
      <c r="AG329" s="848">
        <f t="shared" si="576"/>
        <v>0.04</v>
      </c>
      <c r="AH329" s="848">
        <f t="shared" si="576"/>
        <v>0</v>
      </c>
      <c r="AI329" s="848">
        <f t="shared" si="576"/>
        <v>0</v>
      </c>
      <c r="AJ329" s="848">
        <f t="shared" si="576"/>
        <v>0</v>
      </c>
      <c r="AK329" s="848">
        <f t="shared" si="576"/>
        <v>0</v>
      </c>
      <c r="AL329" s="613">
        <f t="shared" si="576"/>
        <v>0.04</v>
      </c>
      <c r="AM329" s="612">
        <f t="shared" si="576"/>
        <v>15689491</v>
      </c>
      <c r="AN329" s="502">
        <f t="shared" si="576"/>
        <v>11331215</v>
      </c>
      <c r="AO329" s="549">
        <f t="shared" si="576"/>
        <v>310174</v>
      </c>
      <c r="AP329" s="502">
        <f t="shared" si="576"/>
        <v>3934789</v>
      </c>
      <c r="AQ329" s="502">
        <f t="shared" si="576"/>
        <v>113313</v>
      </c>
      <c r="AR329" s="502">
        <f t="shared" si="576"/>
        <v>0</v>
      </c>
      <c r="AS329" s="613">
        <f t="shared" si="576"/>
        <v>20.759399999999999</v>
      </c>
    </row>
    <row r="330" spans="1:45" ht="14.1" customHeight="1" x14ac:dyDescent="0.2">
      <c r="A330" s="499">
        <v>81</v>
      </c>
      <c r="B330" s="511">
        <v>2493</v>
      </c>
      <c r="C330" s="512">
        <v>600080021</v>
      </c>
      <c r="D330" s="511">
        <v>72742399</v>
      </c>
      <c r="E330" s="510" t="s">
        <v>670</v>
      </c>
      <c r="F330" s="499">
        <v>3111</v>
      </c>
      <c r="G330" s="510" t="s">
        <v>277</v>
      </c>
      <c r="H330" s="495" t="s">
        <v>262</v>
      </c>
      <c r="I330" s="610">
        <v>7638008</v>
      </c>
      <c r="J330" s="14">
        <v>5656252</v>
      </c>
      <c r="K330" s="14">
        <v>10000</v>
      </c>
      <c r="L330" s="14">
        <v>1915193</v>
      </c>
      <c r="M330" s="14">
        <v>56563</v>
      </c>
      <c r="N330" s="14">
        <v>0</v>
      </c>
      <c r="O330" s="121">
        <v>9.7903000000000002</v>
      </c>
      <c r="P330" s="676">
        <f t="shared" si="477"/>
        <v>0</v>
      </c>
      <c r="Q330" s="492">
        <v>0</v>
      </c>
      <c r="R330" s="492">
        <v>0</v>
      </c>
      <c r="S330" s="492">
        <v>0</v>
      </c>
      <c r="T330" s="492">
        <v>0</v>
      </c>
      <c r="U330" s="492">
        <v>0</v>
      </c>
      <c r="V330" s="492">
        <f>P330+Q330+R330+S330+T330+U330</f>
        <v>0</v>
      </c>
      <c r="W330" s="492">
        <v>0</v>
      </c>
      <c r="X330" s="492">
        <v>0</v>
      </c>
      <c r="Y330" s="492">
        <v>0</v>
      </c>
      <c r="Z330" s="492">
        <f t="shared" ref="Z330:Z334" si="577">W330+X330+Y330</f>
        <v>0</v>
      </c>
      <c r="AA330" s="492">
        <f t="shared" ref="AA330:AA334" si="578">V330+Z330</f>
        <v>0</v>
      </c>
      <c r="AB330" s="494">
        <f t="shared" ref="AB330:AB334" si="579">ROUND((V330+Z330)*33.8%,0)</f>
        <v>0</v>
      </c>
      <c r="AC330" s="494">
        <f t="shared" ref="AC330:AC334" si="580">ROUND(V330*1%,0)</f>
        <v>0</v>
      </c>
      <c r="AD330" s="14">
        <v>0</v>
      </c>
      <c r="AE330" s="753">
        <f t="shared" si="483"/>
        <v>0</v>
      </c>
      <c r="AF330" s="858">
        <v>0</v>
      </c>
      <c r="AG330" s="491">
        <v>0</v>
      </c>
      <c r="AH330" s="491">
        <v>0</v>
      </c>
      <c r="AI330" s="491">
        <v>0</v>
      </c>
      <c r="AJ330" s="491">
        <v>0</v>
      </c>
      <c r="AK330" s="491">
        <v>0</v>
      </c>
      <c r="AL330" s="609">
        <f>SUM(AF330:AK330)</f>
        <v>0</v>
      </c>
      <c r="AM330" s="676">
        <f>I330+AE330</f>
        <v>7638008</v>
      </c>
      <c r="AN330" s="492">
        <f>J330+V330</f>
        <v>5656252</v>
      </c>
      <c r="AO330" s="492">
        <f t="shared" ref="AO330:AO334" si="581">K330+Z330</f>
        <v>10000</v>
      </c>
      <c r="AP330" s="492">
        <f t="shared" ref="AP330:AR334" si="582">L330+AB330</f>
        <v>1915193</v>
      </c>
      <c r="AQ330" s="492">
        <f t="shared" si="582"/>
        <v>56563</v>
      </c>
      <c r="AR330" s="573">
        <f t="shared" si="582"/>
        <v>0</v>
      </c>
      <c r="AS330" s="609">
        <f>O330+AL330</f>
        <v>9.7903000000000002</v>
      </c>
    </row>
    <row r="331" spans="1:45" ht="14.1" customHeight="1" x14ac:dyDescent="0.2">
      <c r="A331" s="499">
        <v>81</v>
      </c>
      <c r="B331" s="511">
        <v>2493</v>
      </c>
      <c r="C331" s="512">
        <v>600080021</v>
      </c>
      <c r="D331" s="511">
        <v>72742399</v>
      </c>
      <c r="E331" s="510" t="s">
        <v>670</v>
      </c>
      <c r="F331" s="499">
        <v>3113</v>
      </c>
      <c r="G331" s="510" t="s">
        <v>280</v>
      </c>
      <c r="H331" s="495" t="s">
        <v>262</v>
      </c>
      <c r="I331" s="610">
        <v>17493067</v>
      </c>
      <c r="J331" s="14">
        <v>12967126</v>
      </c>
      <c r="K331" s="14">
        <v>10000</v>
      </c>
      <c r="L331" s="14">
        <v>4386270</v>
      </c>
      <c r="M331" s="14">
        <v>129671</v>
      </c>
      <c r="N331" s="14">
        <v>0</v>
      </c>
      <c r="O331" s="121">
        <v>16.090900000000001</v>
      </c>
      <c r="P331" s="676">
        <f t="shared" si="477"/>
        <v>0</v>
      </c>
      <c r="Q331" s="492">
        <v>0</v>
      </c>
      <c r="R331" s="492">
        <v>0</v>
      </c>
      <c r="S331" s="492">
        <v>0</v>
      </c>
      <c r="T331" s="492">
        <v>0</v>
      </c>
      <c r="U331" s="492">
        <v>0</v>
      </c>
      <c r="V331" s="492">
        <f>P331+Q331+R331+S331+T331+U331</f>
        <v>0</v>
      </c>
      <c r="W331" s="492">
        <v>0</v>
      </c>
      <c r="X331" s="492">
        <v>0</v>
      </c>
      <c r="Y331" s="492">
        <v>0</v>
      </c>
      <c r="Z331" s="492">
        <f t="shared" si="577"/>
        <v>0</v>
      </c>
      <c r="AA331" s="492">
        <f t="shared" si="578"/>
        <v>0</v>
      </c>
      <c r="AB331" s="494">
        <f t="shared" si="579"/>
        <v>0</v>
      </c>
      <c r="AC331" s="494">
        <f t="shared" si="580"/>
        <v>0</v>
      </c>
      <c r="AD331" s="14">
        <v>0</v>
      </c>
      <c r="AE331" s="753">
        <f t="shared" si="483"/>
        <v>0</v>
      </c>
      <c r="AF331" s="858">
        <v>0</v>
      </c>
      <c r="AG331" s="491">
        <v>0</v>
      </c>
      <c r="AH331" s="491">
        <v>0</v>
      </c>
      <c r="AI331" s="491">
        <v>0</v>
      </c>
      <c r="AJ331" s="491">
        <v>0</v>
      </c>
      <c r="AK331" s="491">
        <v>0</v>
      </c>
      <c r="AL331" s="609">
        <f>SUM(AF331:AK331)</f>
        <v>0</v>
      </c>
      <c r="AM331" s="676">
        <f>I331+AE331</f>
        <v>17493067</v>
      </c>
      <c r="AN331" s="492">
        <f>J331+V331</f>
        <v>12967126</v>
      </c>
      <c r="AO331" s="492">
        <f t="shared" si="581"/>
        <v>10000</v>
      </c>
      <c r="AP331" s="492">
        <f t="shared" si="582"/>
        <v>4386270</v>
      </c>
      <c r="AQ331" s="492">
        <f t="shared" si="582"/>
        <v>129671</v>
      </c>
      <c r="AR331" s="573">
        <f t="shared" si="582"/>
        <v>0</v>
      </c>
      <c r="AS331" s="609">
        <f>O331+AL331</f>
        <v>16.090900000000001</v>
      </c>
    </row>
    <row r="332" spans="1:45" ht="14.1" customHeight="1" x14ac:dyDescent="0.2">
      <c r="A332" s="499">
        <v>81</v>
      </c>
      <c r="B332" s="511">
        <v>2493</v>
      </c>
      <c r="C332" s="512">
        <v>600080021</v>
      </c>
      <c r="D332" s="511">
        <v>72742399</v>
      </c>
      <c r="E332" s="510" t="s">
        <v>670</v>
      </c>
      <c r="F332" s="499">
        <v>3113</v>
      </c>
      <c r="G332" s="510" t="s">
        <v>799</v>
      </c>
      <c r="H332" s="495" t="s">
        <v>262</v>
      </c>
      <c r="I332" s="610">
        <v>167871</v>
      </c>
      <c r="J332" s="14">
        <v>124534</v>
      </c>
      <c r="K332" s="14">
        <v>0</v>
      </c>
      <c r="L332" s="14">
        <v>42092</v>
      </c>
      <c r="M332" s="14">
        <v>1245</v>
      </c>
      <c r="N332" s="14">
        <v>0</v>
      </c>
      <c r="O332" s="121">
        <v>0.2</v>
      </c>
      <c r="P332" s="676">
        <f t="shared" si="477"/>
        <v>0</v>
      </c>
      <c r="Q332" s="492">
        <v>0</v>
      </c>
      <c r="R332" s="492">
        <v>0</v>
      </c>
      <c r="S332" s="492">
        <v>0</v>
      </c>
      <c r="T332" s="492">
        <v>0</v>
      </c>
      <c r="U332" s="492">
        <v>0</v>
      </c>
      <c r="V332" s="492">
        <f>P332+Q332+R332+S332+T332+U332</f>
        <v>0</v>
      </c>
      <c r="W332" s="492">
        <v>0</v>
      </c>
      <c r="X332" s="492">
        <v>0</v>
      </c>
      <c r="Y332" s="492">
        <v>0</v>
      </c>
      <c r="Z332" s="492">
        <f t="shared" ref="Z332" si="583">W332+X332+Y332</f>
        <v>0</v>
      </c>
      <c r="AA332" s="492">
        <f t="shared" ref="AA332" si="584">V332+Z332</f>
        <v>0</v>
      </c>
      <c r="AB332" s="494">
        <f t="shared" ref="AB332" si="585">ROUND((V332+Z332)*33.8%,0)</f>
        <v>0</v>
      </c>
      <c r="AC332" s="494">
        <f t="shared" ref="AC332" si="586">ROUND(V332*1%,0)</f>
        <v>0</v>
      </c>
      <c r="AD332" s="14">
        <v>0</v>
      </c>
      <c r="AE332" s="753">
        <f t="shared" si="483"/>
        <v>0</v>
      </c>
      <c r="AF332" s="858">
        <v>0</v>
      </c>
      <c r="AG332" s="491">
        <v>0</v>
      </c>
      <c r="AH332" s="491">
        <v>0</v>
      </c>
      <c r="AI332" s="491">
        <v>0</v>
      </c>
      <c r="AJ332" s="491">
        <v>0</v>
      </c>
      <c r="AK332" s="491">
        <v>0</v>
      </c>
      <c r="AL332" s="609">
        <f>SUM(AF332:AK332)</f>
        <v>0</v>
      </c>
      <c r="AM332" s="676">
        <f>I332+AE332</f>
        <v>167871</v>
      </c>
      <c r="AN332" s="492">
        <f>J332+V332</f>
        <v>124534</v>
      </c>
      <c r="AO332" s="492">
        <f t="shared" si="581"/>
        <v>0</v>
      </c>
      <c r="AP332" s="492">
        <f t="shared" si="582"/>
        <v>42092</v>
      </c>
      <c r="AQ332" s="492">
        <f t="shared" si="582"/>
        <v>1245</v>
      </c>
      <c r="AR332" s="573">
        <f t="shared" si="582"/>
        <v>0</v>
      </c>
      <c r="AS332" s="609">
        <f>O332+AL332</f>
        <v>0.2</v>
      </c>
    </row>
    <row r="333" spans="1:45" ht="14.1" customHeight="1" x14ac:dyDescent="0.2">
      <c r="A333" s="499">
        <v>81</v>
      </c>
      <c r="B333" s="511">
        <v>2493</v>
      </c>
      <c r="C333" s="512">
        <v>600080021</v>
      </c>
      <c r="D333" s="511">
        <v>72742399</v>
      </c>
      <c r="E333" s="510" t="s">
        <v>670</v>
      </c>
      <c r="F333" s="499">
        <v>3113</v>
      </c>
      <c r="G333" s="513" t="s">
        <v>278</v>
      </c>
      <c r="H333" s="495" t="s">
        <v>263</v>
      </c>
      <c r="I333" s="610">
        <v>3455735</v>
      </c>
      <c r="J333" s="490">
        <v>2563602</v>
      </c>
      <c r="K333" s="490">
        <v>0</v>
      </c>
      <c r="L333" s="14">
        <v>866497</v>
      </c>
      <c r="M333" s="14">
        <v>25636</v>
      </c>
      <c r="N333" s="14">
        <v>0</v>
      </c>
      <c r="O333" s="664">
        <v>6.78</v>
      </c>
      <c r="P333" s="676">
        <f t="shared" si="477"/>
        <v>0</v>
      </c>
      <c r="Q333" s="492">
        <v>0</v>
      </c>
      <c r="R333" s="492">
        <v>0</v>
      </c>
      <c r="S333" s="492">
        <v>0</v>
      </c>
      <c r="T333" s="492">
        <v>0</v>
      </c>
      <c r="U333" s="492">
        <v>0</v>
      </c>
      <c r="V333" s="492">
        <f>P333+Q333+R333+S333+T333+U333</f>
        <v>0</v>
      </c>
      <c r="W333" s="492">
        <v>0</v>
      </c>
      <c r="X333" s="492">
        <v>0</v>
      </c>
      <c r="Y333" s="492">
        <v>0</v>
      </c>
      <c r="Z333" s="492">
        <f t="shared" si="577"/>
        <v>0</v>
      </c>
      <c r="AA333" s="492">
        <f t="shared" si="578"/>
        <v>0</v>
      </c>
      <c r="AB333" s="494">
        <f t="shared" si="579"/>
        <v>0</v>
      </c>
      <c r="AC333" s="494">
        <f t="shared" si="580"/>
        <v>0</v>
      </c>
      <c r="AD333" s="14">
        <v>0</v>
      </c>
      <c r="AE333" s="753">
        <f t="shared" si="483"/>
        <v>0</v>
      </c>
      <c r="AF333" s="858">
        <v>0</v>
      </c>
      <c r="AG333" s="491">
        <v>0</v>
      </c>
      <c r="AH333" s="491">
        <v>0</v>
      </c>
      <c r="AI333" s="491">
        <v>0</v>
      </c>
      <c r="AJ333" s="491">
        <v>0</v>
      </c>
      <c r="AK333" s="491">
        <v>0</v>
      </c>
      <c r="AL333" s="609">
        <f>SUM(AF333:AK333)</f>
        <v>0</v>
      </c>
      <c r="AM333" s="676">
        <f>I333+AE333</f>
        <v>3455735</v>
      </c>
      <c r="AN333" s="492">
        <f>J333+V333</f>
        <v>2563602</v>
      </c>
      <c r="AO333" s="492">
        <f t="shared" si="581"/>
        <v>0</v>
      </c>
      <c r="AP333" s="492">
        <f t="shared" si="582"/>
        <v>866497</v>
      </c>
      <c r="AQ333" s="492">
        <f t="shared" si="582"/>
        <v>25636</v>
      </c>
      <c r="AR333" s="573">
        <f t="shared" si="582"/>
        <v>0</v>
      </c>
      <c r="AS333" s="609">
        <f>O333+AL333</f>
        <v>6.78</v>
      </c>
    </row>
    <row r="334" spans="1:45" ht="14.1" customHeight="1" x14ac:dyDescent="0.2">
      <c r="A334" s="499">
        <v>81</v>
      </c>
      <c r="B334" s="511">
        <v>2493</v>
      </c>
      <c r="C334" s="512">
        <v>600080021</v>
      </c>
      <c r="D334" s="511">
        <v>72742399</v>
      </c>
      <c r="E334" s="510" t="s">
        <v>670</v>
      </c>
      <c r="F334" s="499">
        <v>3143</v>
      </c>
      <c r="G334" s="513" t="s">
        <v>794</v>
      </c>
      <c r="H334" s="495" t="s">
        <v>262</v>
      </c>
      <c r="I334" s="610">
        <v>2134966</v>
      </c>
      <c r="J334" s="14">
        <v>1573877</v>
      </c>
      <c r="K334" s="14">
        <v>10000</v>
      </c>
      <c r="L334" s="14">
        <v>535350</v>
      </c>
      <c r="M334" s="14">
        <v>15739</v>
      </c>
      <c r="N334" s="14">
        <v>0</v>
      </c>
      <c r="O334" s="121">
        <v>2.9641999999999999</v>
      </c>
      <c r="P334" s="676">
        <f t="shared" ref="P334:P365" si="587">W334*-1</f>
        <v>0</v>
      </c>
      <c r="Q334" s="492">
        <v>0</v>
      </c>
      <c r="R334" s="492">
        <v>0</v>
      </c>
      <c r="S334" s="492">
        <v>0</v>
      </c>
      <c r="T334" s="492">
        <v>0</v>
      </c>
      <c r="U334" s="492">
        <v>0</v>
      </c>
      <c r="V334" s="492">
        <f>P334+Q334+R334+S334+T334+U334</f>
        <v>0</v>
      </c>
      <c r="W334" s="492">
        <v>0</v>
      </c>
      <c r="X334" s="492">
        <v>0</v>
      </c>
      <c r="Y334" s="492">
        <v>0</v>
      </c>
      <c r="Z334" s="492">
        <f t="shared" si="577"/>
        <v>0</v>
      </c>
      <c r="AA334" s="492">
        <f t="shared" si="578"/>
        <v>0</v>
      </c>
      <c r="AB334" s="494">
        <f t="shared" si="579"/>
        <v>0</v>
      </c>
      <c r="AC334" s="494">
        <f t="shared" si="580"/>
        <v>0</v>
      </c>
      <c r="AD334" s="14">
        <v>0</v>
      </c>
      <c r="AE334" s="753">
        <f t="shared" ref="AE334:AE365" si="588">AA334+AB334+AC334+AD334</f>
        <v>0</v>
      </c>
      <c r="AF334" s="858">
        <v>0</v>
      </c>
      <c r="AG334" s="491">
        <v>0</v>
      </c>
      <c r="AH334" s="491">
        <v>0</v>
      </c>
      <c r="AI334" s="491">
        <v>0</v>
      </c>
      <c r="AJ334" s="491">
        <v>0</v>
      </c>
      <c r="AK334" s="491">
        <v>0</v>
      </c>
      <c r="AL334" s="609">
        <f>SUM(AF334:AK334)</f>
        <v>0</v>
      </c>
      <c r="AM334" s="676">
        <f>I334+AE334</f>
        <v>2134966</v>
      </c>
      <c r="AN334" s="492">
        <f>J334+V334</f>
        <v>1573877</v>
      </c>
      <c r="AO334" s="492">
        <f t="shared" si="581"/>
        <v>10000</v>
      </c>
      <c r="AP334" s="492">
        <f t="shared" si="582"/>
        <v>535350</v>
      </c>
      <c r="AQ334" s="492">
        <f t="shared" si="582"/>
        <v>15739</v>
      </c>
      <c r="AR334" s="573">
        <f t="shared" si="582"/>
        <v>0</v>
      </c>
      <c r="AS334" s="609">
        <f>O334+AL334</f>
        <v>2.9641999999999999</v>
      </c>
    </row>
    <row r="335" spans="1:45" ht="14.1" customHeight="1" x14ac:dyDescent="0.2">
      <c r="A335" s="509">
        <v>81</v>
      </c>
      <c r="B335" s="507">
        <v>2493</v>
      </c>
      <c r="C335" s="508">
        <v>600080021</v>
      </c>
      <c r="D335" s="507">
        <v>72742399</v>
      </c>
      <c r="E335" s="505" t="s">
        <v>671</v>
      </c>
      <c r="F335" s="509"/>
      <c r="G335" s="505"/>
      <c r="H335" s="504"/>
      <c r="I335" s="612">
        <v>30889647</v>
      </c>
      <c r="J335" s="503">
        <v>22885391</v>
      </c>
      <c r="K335" s="503">
        <v>30000</v>
      </c>
      <c r="L335" s="503">
        <v>7745402</v>
      </c>
      <c r="M335" s="503">
        <v>228854</v>
      </c>
      <c r="N335" s="503">
        <v>0</v>
      </c>
      <c r="O335" s="837">
        <v>35.825399999999995</v>
      </c>
      <c r="P335" s="612">
        <f t="shared" ref="P335:AS335" si="589">SUM(P330:P334)</f>
        <v>0</v>
      </c>
      <c r="Q335" s="502">
        <f t="shared" si="589"/>
        <v>0</v>
      </c>
      <c r="R335" s="502">
        <f t="shared" si="589"/>
        <v>0</v>
      </c>
      <c r="S335" s="502">
        <f t="shared" si="589"/>
        <v>0</v>
      </c>
      <c r="T335" s="502">
        <f t="shared" si="589"/>
        <v>0</v>
      </c>
      <c r="U335" s="502">
        <f t="shared" si="589"/>
        <v>0</v>
      </c>
      <c r="V335" s="502">
        <f t="shared" si="589"/>
        <v>0</v>
      </c>
      <c r="W335" s="502">
        <f t="shared" si="589"/>
        <v>0</v>
      </c>
      <c r="X335" s="502">
        <f t="shared" si="589"/>
        <v>0</v>
      </c>
      <c r="Y335" s="502">
        <f t="shared" si="589"/>
        <v>0</v>
      </c>
      <c r="Z335" s="502">
        <f t="shared" si="589"/>
        <v>0</v>
      </c>
      <c r="AA335" s="502">
        <f t="shared" si="589"/>
        <v>0</v>
      </c>
      <c r="AB335" s="502">
        <f t="shared" si="589"/>
        <v>0</v>
      </c>
      <c r="AC335" s="502">
        <f t="shared" si="589"/>
        <v>0</v>
      </c>
      <c r="AD335" s="502">
        <f t="shared" si="589"/>
        <v>0</v>
      </c>
      <c r="AE335" s="852">
        <f t="shared" si="589"/>
        <v>0</v>
      </c>
      <c r="AF335" s="857">
        <f t="shared" si="589"/>
        <v>0</v>
      </c>
      <c r="AG335" s="848">
        <f t="shared" si="589"/>
        <v>0</v>
      </c>
      <c r="AH335" s="848">
        <f t="shared" si="589"/>
        <v>0</v>
      </c>
      <c r="AI335" s="848">
        <f t="shared" si="589"/>
        <v>0</v>
      </c>
      <c r="AJ335" s="848">
        <f t="shared" si="589"/>
        <v>0</v>
      </c>
      <c r="AK335" s="848">
        <f t="shared" si="589"/>
        <v>0</v>
      </c>
      <c r="AL335" s="613">
        <f t="shared" si="589"/>
        <v>0</v>
      </c>
      <c r="AM335" s="612">
        <f t="shared" si="589"/>
        <v>30889647</v>
      </c>
      <c r="AN335" s="502">
        <f t="shared" si="589"/>
        <v>22885391</v>
      </c>
      <c r="AO335" s="549">
        <f t="shared" si="589"/>
        <v>30000</v>
      </c>
      <c r="AP335" s="502">
        <f t="shared" si="589"/>
        <v>7745402</v>
      </c>
      <c r="AQ335" s="502">
        <f t="shared" si="589"/>
        <v>228854</v>
      </c>
      <c r="AR335" s="502">
        <f t="shared" si="589"/>
        <v>0</v>
      </c>
      <c r="AS335" s="613">
        <f t="shared" si="589"/>
        <v>35.825399999999995</v>
      </c>
    </row>
    <row r="336" spans="1:45" ht="14.1" customHeight="1" x14ac:dyDescent="0.2">
      <c r="A336" s="499">
        <v>82</v>
      </c>
      <c r="B336" s="511">
        <v>2445</v>
      </c>
      <c r="C336" s="512">
        <v>600080030</v>
      </c>
      <c r="D336" s="511">
        <v>70695997</v>
      </c>
      <c r="E336" s="510" t="s">
        <v>672</v>
      </c>
      <c r="F336" s="499">
        <v>3111</v>
      </c>
      <c r="G336" s="510" t="s">
        <v>277</v>
      </c>
      <c r="H336" s="495" t="s">
        <v>262</v>
      </c>
      <c r="I336" s="610">
        <v>3220579</v>
      </c>
      <c r="J336" s="14">
        <v>2389154</v>
      </c>
      <c r="K336" s="14">
        <v>0</v>
      </c>
      <c r="L336" s="14">
        <v>807534</v>
      </c>
      <c r="M336" s="14">
        <v>23891</v>
      </c>
      <c r="N336" s="14">
        <v>0</v>
      </c>
      <c r="O336" s="121">
        <v>4</v>
      </c>
      <c r="P336" s="676">
        <f t="shared" si="587"/>
        <v>0</v>
      </c>
      <c r="Q336" s="492">
        <v>0</v>
      </c>
      <c r="R336" s="492">
        <v>0</v>
      </c>
      <c r="S336" s="492">
        <v>0</v>
      </c>
      <c r="T336" s="492">
        <v>0</v>
      </c>
      <c r="U336" s="492">
        <v>0</v>
      </c>
      <c r="V336" s="492">
        <f>P336+Q336+R336+S336+T336+U336</f>
        <v>0</v>
      </c>
      <c r="W336" s="492">
        <v>0</v>
      </c>
      <c r="X336" s="492">
        <v>0</v>
      </c>
      <c r="Y336" s="492">
        <v>0</v>
      </c>
      <c r="Z336" s="492">
        <f t="shared" ref="Z336:Z339" si="590">W336+X336+Y336</f>
        <v>0</v>
      </c>
      <c r="AA336" s="492">
        <f t="shared" ref="AA336:AA339" si="591">V336+Z336</f>
        <v>0</v>
      </c>
      <c r="AB336" s="494">
        <f t="shared" ref="AB336:AB339" si="592">ROUND((V336+Z336)*33.8%,0)</f>
        <v>0</v>
      </c>
      <c r="AC336" s="494">
        <f t="shared" ref="AC336:AC339" si="593">ROUND(V336*1%,0)</f>
        <v>0</v>
      </c>
      <c r="AD336" s="14">
        <v>0</v>
      </c>
      <c r="AE336" s="753">
        <f t="shared" si="588"/>
        <v>0</v>
      </c>
      <c r="AF336" s="858">
        <v>0</v>
      </c>
      <c r="AG336" s="491">
        <v>0</v>
      </c>
      <c r="AH336" s="491">
        <v>0</v>
      </c>
      <c r="AI336" s="491">
        <v>0</v>
      </c>
      <c r="AJ336" s="491">
        <v>0</v>
      </c>
      <c r="AK336" s="491">
        <v>0</v>
      </c>
      <c r="AL336" s="609">
        <f>SUM(AF336:AK336)</f>
        <v>0</v>
      </c>
      <c r="AM336" s="676">
        <f>I336+AE336</f>
        <v>3220579</v>
      </c>
      <c r="AN336" s="492">
        <f>J336+V336</f>
        <v>2389154</v>
      </c>
      <c r="AO336" s="492">
        <f t="shared" ref="AO336:AO339" si="594">K336+Z336</f>
        <v>0</v>
      </c>
      <c r="AP336" s="492">
        <f t="shared" ref="AP336:AR339" si="595">L336+AB336</f>
        <v>807534</v>
      </c>
      <c r="AQ336" s="492">
        <f t="shared" si="595"/>
        <v>23891</v>
      </c>
      <c r="AR336" s="573">
        <f t="shared" si="595"/>
        <v>0</v>
      </c>
      <c r="AS336" s="609">
        <f>O336+AL336</f>
        <v>4</v>
      </c>
    </row>
    <row r="337" spans="1:45" ht="14.1" customHeight="1" x14ac:dyDescent="0.2">
      <c r="A337" s="499">
        <v>82</v>
      </c>
      <c r="B337" s="511">
        <v>2445</v>
      </c>
      <c r="C337" s="512">
        <v>600080030</v>
      </c>
      <c r="D337" s="511">
        <v>70695997</v>
      </c>
      <c r="E337" s="510" t="s">
        <v>672</v>
      </c>
      <c r="F337" s="499">
        <v>3117</v>
      </c>
      <c r="G337" s="510" t="s">
        <v>280</v>
      </c>
      <c r="H337" s="495" t="s">
        <v>262</v>
      </c>
      <c r="I337" s="610">
        <v>4308824</v>
      </c>
      <c r="J337" s="14">
        <v>3196457</v>
      </c>
      <c r="K337" s="14">
        <v>0</v>
      </c>
      <c r="L337" s="14">
        <v>1080402</v>
      </c>
      <c r="M337" s="14">
        <v>31965</v>
      </c>
      <c r="N337" s="14">
        <v>0</v>
      </c>
      <c r="O337" s="121">
        <v>4.6753</v>
      </c>
      <c r="P337" s="676">
        <f t="shared" si="587"/>
        <v>0</v>
      </c>
      <c r="Q337" s="492">
        <v>0</v>
      </c>
      <c r="R337" s="492">
        <v>0</v>
      </c>
      <c r="S337" s="492">
        <v>0</v>
      </c>
      <c r="T337" s="492">
        <v>0</v>
      </c>
      <c r="U337" s="492">
        <v>0</v>
      </c>
      <c r="V337" s="492">
        <f>P337+Q337+R337+S337+T337+U337</f>
        <v>0</v>
      </c>
      <c r="W337" s="492">
        <v>0</v>
      </c>
      <c r="X337" s="492">
        <v>0</v>
      </c>
      <c r="Y337" s="492">
        <v>0</v>
      </c>
      <c r="Z337" s="492">
        <f t="shared" si="590"/>
        <v>0</v>
      </c>
      <c r="AA337" s="492">
        <f t="shared" si="591"/>
        <v>0</v>
      </c>
      <c r="AB337" s="494">
        <f t="shared" si="592"/>
        <v>0</v>
      </c>
      <c r="AC337" s="494">
        <f t="shared" si="593"/>
        <v>0</v>
      </c>
      <c r="AD337" s="14">
        <v>0</v>
      </c>
      <c r="AE337" s="753">
        <f t="shared" si="588"/>
        <v>0</v>
      </c>
      <c r="AF337" s="858">
        <v>0</v>
      </c>
      <c r="AG337" s="491">
        <v>0</v>
      </c>
      <c r="AH337" s="491">
        <v>0</v>
      </c>
      <c r="AI337" s="491">
        <v>0</v>
      </c>
      <c r="AJ337" s="491">
        <v>0</v>
      </c>
      <c r="AK337" s="491">
        <v>0</v>
      </c>
      <c r="AL337" s="609">
        <f>SUM(AF337:AK337)</f>
        <v>0</v>
      </c>
      <c r="AM337" s="676">
        <f>I337+AE337</f>
        <v>4308824</v>
      </c>
      <c r="AN337" s="492">
        <f>J337+V337</f>
        <v>3196457</v>
      </c>
      <c r="AO337" s="492">
        <f t="shared" si="594"/>
        <v>0</v>
      </c>
      <c r="AP337" s="492">
        <f t="shared" si="595"/>
        <v>1080402</v>
      </c>
      <c r="AQ337" s="492">
        <f t="shared" si="595"/>
        <v>31965</v>
      </c>
      <c r="AR337" s="573">
        <f t="shared" si="595"/>
        <v>0</v>
      </c>
      <c r="AS337" s="609">
        <f>O337+AL337</f>
        <v>4.6753</v>
      </c>
    </row>
    <row r="338" spans="1:45" ht="14.1" customHeight="1" x14ac:dyDescent="0.2">
      <c r="A338" s="499">
        <v>82</v>
      </c>
      <c r="B338" s="511">
        <v>2445</v>
      </c>
      <c r="C338" s="512">
        <v>600080030</v>
      </c>
      <c r="D338" s="511">
        <v>70695997</v>
      </c>
      <c r="E338" s="510" t="s">
        <v>672</v>
      </c>
      <c r="F338" s="499">
        <v>3117</v>
      </c>
      <c r="G338" s="513" t="s">
        <v>278</v>
      </c>
      <c r="H338" s="495" t="s">
        <v>263</v>
      </c>
      <c r="I338" s="610">
        <v>1818452</v>
      </c>
      <c r="J338" s="490">
        <v>1284482</v>
      </c>
      <c r="K338" s="490">
        <v>65000</v>
      </c>
      <c r="L338" s="14">
        <v>456125</v>
      </c>
      <c r="M338" s="14">
        <v>12845</v>
      </c>
      <c r="N338" s="14">
        <v>0</v>
      </c>
      <c r="O338" s="664">
        <v>3.21</v>
      </c>
      <c r="P338" s="676">
        <f t="shared" si="587"/>
        <v>0</v>
      </c>
      <c r="Q338" s="492">
        <v>22075</v>
      </c>
      <c r="R338" s="492">
        <v>0</v>
      </c>
      <c r="S338" s="492">
        <v>0</v>
      </c>
      <c r="T338" s="492">
        <v>0</v>
      </c>
      <c r="U338" s="492">
        <v>0</v>
      </c>
      <c r="V338" s="492">
        <f>P338+Q338+R338+S338+T338+U338</f>
        <v>22075</v>
      </c>
      <c r="W338" s="492">
        <v>0</v>
      </c>
      <c r="X338" s="492">
        <v>0</v>
      </c>
      <c r="Y338" s="492">
        <v>0</v>
      </c>
      <c r="Z338" s="492">
        <f t="shared" si="590"/>
        <v>0</v>
      </c>
      <c r="AA338" s="492">
        <f t="shared" si="591"/>
        <v>22075</v>
      </c>
      <c r="AB338" s="494">
        <f t="shared" si="592"/>
        <v>7461</v>
      </c>
      <c r="AC338" s="494">
        <f t="shared" si="593"/>
        <v>221</v>
      </c>
      <c r="AD338" s="14">
        <v>0</v>
      </c>
      <c r="AE338" s="753">
        <f t="shared" si="588"/>
        <v>29757</v>
      </c>
      <c r="AF338" s="858">
        <v>0</v>
      </c>
      <c r="AG338" s="491">
        <v>0.04</v>
      </c>
      <c r="AH338" s="491">
        <v>0</v>
      </c>
      <c r="AI338" s="491">
        <v>0</v>
      </c>
      <c r="AJ338" s="491">
        <v>0</v>
      </c>
      <c r="AK338" s="491">
        <v>0</v>
      </c>
      <c r="AL338" s="609">
        <f>SUM(AF338:AK338)</f>
        <v>0.04</v>
      </c>
      <c r="AM338" s="676">
        <f>I338+AE338</f>
        <v>1848209</v>
      </c>
      <c r="AN338" s="492">
        <f>J338+V338</f>
        <v>1306557</v>
      </c>
      <c r="AO338" s="492">
        <f t="shared" si="594"/>
        <v>65000</v>
      </c>
      <c r="AP338" s="492">
        <f t="shared" si="595"/>
        <v>463586</v>
      </c>
      <c r="AQ338" s="492">
        <f t="shared" si="595"/>
        <v>13066</v>
      </c>
      <c r="AR338" s="573">
        <f t="shared" si="595"/>
        <v>0</v>
      </c>
      <c r="AS338" s="609">
        <f>O338+AL338</f>
        <v>3.25</v>
      </c>
    </row>
    <row r="339" spans="1:45" ht="14.1" customHeight="1" x14ac:dyDescent="0.2">
      <c r="A339" s="499">
        <v>82</v>
      </c>
      <c r="B339" s="511">
        <v>2445</v>
      </c>
      <c r="C339" s="512">
        <v>600080030</v>
      </c>
      <c r="D339" s="511">
        <v>70695997</v>
      </c>
      <c r="E339" s="510" t="s">
        <v>672</v>
      </c>
      <c r="F339" s="499">
        <v>3143</v>
      </c>
      <c r="G339" s="513" t="s">
        <v>795</v>
      </c>
      <c r="H339" s="495" t="s">
        <v>262</v>
      </c>
      <c r="I339" s="610">
        <v>1542458</v>
      </c>
      <c r="J339" s="14">
        <v>1144256</v>
      </c>
      <c r="K339" s="14">
        <v>0</v>
      </c>
      <c r="L339" s="14">
        <v>386759</v>
      </c>
      <c r="M339" s="14">
        <v>11443</v>
      </c>
      <c r="N339" s="14">
        <v>0</v>
      </c>
      <c r="O339" s="121">
        <v>2.1432000000000002</v>
      </c>
      <c r="P339" s="676">
        <f t="shared" si="587"/>
        <v>0</v>
      </c>
      <c r="Q339" s="492">
        <v>0</v>
      </c>
      <c r="R339" s="492">
        <v>0</v>
      </c>
      <c r="S339" s="492">
        <v>0</v>
      </c>
      <c r="T339" s="492">
        <v>0</v>
      </c>
      <c r="U339" s="492">
        <v>0</v>
      </c>
      <c r="V339" s="492">
        <f>P339+Q339+R339+S339+T339+U339</f>
        <v>0</v>
      </c>
      <c r="W339" s="492">
        <v>0</v>
      </c>
      <c r="X339" s="492">
        <v>0</v>
      </c>
      <c r="Y339" s="492">
        <v>0</v>
      </c>
      <c r="Z339" s="492">
        <f t="shared" si="590"/>
        <v>0</v>
      </c>
      <c r="AA339" s="492">
        <f t="shared" si="591"/>
        <v>0</v>
      </c>
      <c r="AB339" s="494">
        <f t="shared" si="592"/>
        <v>0</v>
      </c>
      <c r="AC339" s="494">
        <f t="shared" si="593"/>
        <v>0</v>
      </c>
      <c r="AD339" s="14">
        <v>0</v>
      </c>
      <c r="AE339" s="753">
        <f t="shared" si="588"/>
        <v>0</v>
      </c>
      <c r="AF339" s="858">
        <v>0</v>
      </c>
      <c r="AG339" s="491">
        <v>0</v>
      </c>
      <c r="AH339" s="491">
        <v>0</v>
      </c>
      <c r="AI339" s="491">
        <v>0</v>
      </c>
      <c r="AJ339" s="491">
        <v>0</v>
      </c>
      <c r="AK339" s="491">
        <v>0</v>
      </c>
      <c r="AL339" s="609">
        <f>SUM(AF339:AK339)</f>
        <v>0</v>
      </c>
      <c r="AM339" s="676">
        <f>I339+AE339</f>
        <v>1542458</v>
      </c>
      <c r="AN339" s="492">
        <f>J339+V339</f>
        <v>1144256</v>
      </c>
      <c r="AO339" s="492">
        <f t="shared" si="594"/>
        <v>0</v>
      </c>
      <c r="AP339" s="492">
        <f t="shared" si="595"/>
        <v>386759</v>
      </c>
      <c r="AQ339" s="492">
        <f t="shared" si="595"/>
        <v>11443</v>
      </c>
      <c r="AR339" s="573">
        <f t="shared" si="595"/>
        <v>0</v>
      </c>
      <c r="AS339" s="609">
        <f>O339+AL339</f>
        <v>2.1432000000000002</v>
      </c>
    </row>
    <row r="340" spans="1:45" ht="14.1" customHeight="1" x14ac:dyDescent="0.2">
      <c r="A340" s="509">
        <v>82</v>
      </c>
      <c r="B340" s="507">
        <v>2445</v>
      </c>
      <c r="C340" s="508">
        <v>600080030</v>
      </c>
      <c r="D340" s="507">
        <v>70695997</v>
      </c>
      <c r="E340" s="505" t="s">
        <v>673</v>
      </c>
      <c r="F340" s="509"/>
      <c r="G340" s="505"/>
      <c r="H340" s="504"/>
      <c r="I340" s="612">
        <v>10890313</v>
      </c>
      <c r="J340" s="503">
        <v>8014349</v>
      </c>
      <c r="K340" s="503">
        <v>65000</v>
      </c>
      <c r="L340" s="503">
        <v>2730820</v>
      </c>
      <c r="M340" s="503">
        <v>80144</v>
      </c>
      <c r="N340" s="503">
        <v>0</v>
      </c>
      <c r="O340" s="837">
        <v>14.028500000000001</v>
      </c>
      <c r="P340" s="612">
        <f t="shared" ref="P340:AS340" si="596">SUM(P336:P339)</f>
        <v>0</v>
      </c>
      <c r="Q340" s="502">
        <f t="shared" si="596"/>
        <v>22075</v>
      </c>
      <c r="R340" s="502">
        <f t="shared" si="596"/>
        <v>0</v>
      </c>
      <c r="S340" s="502">
        <f t="shared" si="596"/>
        <v>0</v>
      </c>
      <c r="T340" s="502">
        <f t="shared" si="596"/>
        <v>0</v>
      </c>
      <c r="U340" s="502">
        <f t="shared" si="596"/>
        <v>0</v>
      </c>
      <c r="V340" s="502">
        <f t="shared" si="596"/>
        <v>22075</v>
      </c>
      <c r="W340" s="502">
        <f t="shared" si="596"/>
        <v>0</v>
      </c>
      <c r="X340" s="502">
        <f t="shared" si="596"/>
        <v>0</v>
      </c>
      <c r="Y340" s="502">
        <f t="shared" si="596"/>
        <v>0</v>
      </c>
      <c r="Z340" s="502">
        <f t="shared" si="596"/>
        <v>0</v>
      </c>
      <c r="AA340" s="502">
        <f t="shared" si="596"/>
        <v>22075</v>
      </c>
      <c r="AB340" s="502">
        <f t="shared" si="596"/>
        <v>7461</v>
      </c>
      <c r="AC340" s="502">
        <f t="shared" si="596"/>
        <v>221</v>
      </c>
      <c r="AD340" s="502">
        <f t="shared" si="596"/>
        <v>0</v>
      </c>
      <c r="AE340" s="852">
        <f t="shared" si="596"/>
        <v>29757</v>
      </c>
      <c r="AF340" s="857">
        <f t="shared" si="596"/>
        <v>0</v>
      </c>
      <c r="AG340" s="848">
        <f t="shared" si="596"/>
        <v>0.04</v>
      </c>
      <c r="AH340" s="848">
        <f t="shared" si="596"/>
        <v>0</v>
      </c>
      <c r="AI340" s="848">
        <f t="shared" si="596"/>
        <v>0</v>
      </c>
      <c r="AJ340" s="848">
        <f t="shared" si="596"/>
        <v>0</v>
      </c>
      <c r="AK340" s="848">
        <f t="shared" si="596"/>
        <v>0</v>
      </c>
      <c r="AL340" s="613">
        <f t="shared" si="596"/>
        <v>0.04</v>
      </c>
      <c r="AM340" s="612">
        <f t="shared" si="596"/>
        <v>10920070</v>
      </c>
      <c r="AN340" s="502">
        <f t="shared" si="596"/>
        <v>8036424</v>
      </c>
      <c r="AO340" s="549">
        <f t="shared" si="596"/>
        <v>65000</v>
      </c>
      <c r="AP340" s="502">
        <f t="shared" si="596"/>
        <v>2738281</v>
      </c>
      <c r="AQ340" s="502">
        <f t="shared" si="596"/>
        <v>80365</v>
      </c>
      <c r="AR340" s="502">
        <f t="shared" si="596"/>
        <v>0</v>
      </c>
      <c r="AS340" s="613">
        <f t="shared" si="596"/>
        <v>14.0685</v>
      </c>
    </row>
    <row r="341" spans="1:45" ht="14.1" customHeight="1" x14ac:dyDescent="0.2">
      <c r="A341" s="499">
        <v>83</v>
      </c>
      <c r="B341" s="511">
        <v>2495</v>
      </c>
      <c r="C341" s="512">
        <v>600080196</v>
      </c>
      <c r="D341" s="511">
        <v>70983810</v>
      </c>
      <c r="E341" s="510" t="s">
        <v>674</v>
      </c>
      <c r="F341" s="499">
        <v>3111</v>
      </c>
      <c r="G341" s="510" t="s">
        <v>277</v>
      </c>
      <c r="H341" s="495" t="s">
        <v>262</v>
      </c>
      <c r="I341" s="610">
        <v>4741450</v>
      </c>
      <c r="J341" s="14">
        <v>3517396</v>
      </c>
      <c r="K341" s="14">
        <v>0</v>
      </c>
      <c r="L341" s="14">
        <v>1188880</v>
      </c>
      <c r="M341" s="14">
        <v>35174</v>
      </c>
      <c r="N341" s="14">
        <v>0</v>
      </c>
      <c r="O341" s="121">
        <v>5.8326000000000002</v>
      </c>
      <c r="P341" s="676">
        <f t="shared" si="587"/>
        <v>0</v>
      </c>
      <c r="Q341" s="492">
        <v>0</v>
      </c>
      <c r="R341" s="492">
        <v>0</v>
      </c>
      <c r="S341" s="492">
        <v>0</v>
      </c>
      <c r="T341" s="492">
        <v>0</v>
      </c>
      <c r="U341" s="492">
        <v>0</v>
      </c>
      <c r="V341" s="492">
        <f>P341+Q341+R341+S341+T341+U341</f>
        <v>0</v>
      </c>
      <c r="W341" s="492">
        <v>0</v>
      </c>
      <c r="X341" s="492">
        <v>0</v>
      </c>
      <c r="Y341" s="492">
        <v>0</v>
      </c>
      <c r="Z341" s="492">
        <f t="shared" ref="Z341:Z344" si="597">W341+X341+Y341</f>
        <v>0</v>
      </c>
      <c r="AA341" s="492">
        <f t="shared" ref="AA341:AA344" si="598">V341+Z341</f>
        <v>0</v>
      </c>
      <c r="AB341" s="494">
        <f t="shared" ref="AB341:AB344" si="599">ROUND((V341+Z341)*33.8%,0)</f>
        <v>0</v>
      </c>
      <c r="AC341" s="494">
        <f t="shared" ref="AC341:AC344" si="600">ROUND(V341*1%,0)</f>
        <v>0</v>
      </c>
      <c r="AD341" s="14">
        <v>0</v>
      </c>
      <c r="AE341" s="753">
        <f t="shared" si="588"/>
        <v>0</v>
      </c>
      <c r="AF341" s="858">
        <v>0</v>
      </c>
      <c r="AG341" s="491">
        <v>0</v>
      </c>
      <c r="AH341" s="491">
        <v>0</v>
      </c>
      <c r="AI341" s="491">
        <v>0</v>
      </c>
      <c r="AJ341" s="491">
        <v>0</v>
      </c>
      <c r="AK341" s="491">
        <v>0</v>
      </c>
      <c r="AL341" s="609">
        <f>SUM(AF341:AK341)</f>
        <v>0</v>
      </c>
      <c r="AM341" s="676">
        <f>I341+AE341</f>
        <v>4741450</v>
      </c>
      <c r="AN341" s="492">
        <f>J341+V341</f>
        <v>3517396</v>
      </c>
      <c r="AO341" s="492">
        <f t="shared" ref="AO341:AO344" si="601">K341+Z341</f>
        <v>0</v>
      </c>
      <c r="AP341" s="492">
        <f t="shared" ref="AP341:AR344" si="602">L341+AB341</f>
        <v>1188880</v>
      </c>
      <c r="AQ341" s="492">
        <f t="shared" si="602"/>
        <v>35174</v>
      </c>
      <c r="AR341" s="573">
        <f t="shared" si="602"/>
        <v>0</v>
      </c>
      <c r="AS341" s="609">
        <f>O341+AL341</f>
        <v>5.8326000000000002</v>
      </c>
    </row>
    <row r="342" spans="1:45" ht="14.1" customHeight="1" x14ac:dyDescent="0.2">
      <c r="A342" s="499">
        <v>83</v>
      </c>
      <c r="B342" s="511">
        <v>2495</v>
      </c>
      <c r="C342" s="512">
        <v>600080196</v>
      </c>
      <c r="D342" s="511">
        <v>70983810</v>
      </c>
      <c r="E342" s="510" t="s">
        <v>674</v>
      </c>
      <c r="F342" s="499">
        <v>3113</v>
      </c>
      <c r="G342" s="510" t="s">
        <v>280</v>
      </c>
      <c r="H342" s="495" t="s">
        <v>262</v>
      </c>
      <c r="I342" s="610">
        <v>14446421</v>
      </c>
      <c r="J342" s="14">
        <v>10716930</v>
      </c>
      <c r="K342" s="14">
        <v>0</v>
      </c>
      <c r="L342" s="14">
        <v>3622322</v>
      </c>
      <c r="M342" s="14">
        <v>107169</v>
      </c>
      <c r="N342" s="14">
        <v>0</v>
      </c>
      <c r="O342" s="121">
        <v>13.7677</v>
      </c>
      <c r="P342" s="676">
        <f t="shared" si="587"/>
        <v>0</v>
      </c>
      <c r="Q342" s="492">
        <v>0</v>
      </c>
      <c r="R342" s="492">
        <v>0</v>
      </c>
      <c r="S342" s="492">
        <v>0</v>
      </c>
      <c r="T342" s="492">
        <v>0</v>
      </c>
      <c r="U342" s="492">
        <v>0</v>
      </c>
      <c r="V342" s="492">
        <f>P342+Q342+R342+S342+T342+U342</f>
        <v>0</v>
      </c>
      <c r="W342" s="492">
        <v>0</v>
      </c>
      <c r="X342" s="492">
        <v>0</v>
      </c>
      <c r="Y342" s="492">
        <v>0</v>
      </c>
      <c r="Z342" s="492">
        <f t="shared" si="597"/>
        <v>0</v>
      </c>
      <c r="AA342" s="492">
        <f t="shared" si="598"/>
        <v>0</v>
      </c>
      <c r="AB342" s="494">
        <f t="shared" si="599"/>
        <v>0</v>
      </c>
      <c r="AC342" s="494">
        <f t="shared" si="600"/>
        <v>0</v>
      </c>
      <c r="AD342" s="14">
        <v>0</v>
      </c>
      <c r="AE342" s="753">
        <f t="shared" si="588"/>
        <v>0</v>
      </c>
      <c r="AF342" s="858">
        <v>0</v>
      </c>
      <c r="AG342" s="491">
        <v>0</v>
      </c>
      <c r="AH342" s="491">
        <v>0</v>
      </c>
      <c r="AI342" s="491">
        <v>0</v>
      </c>
      <c r="AJ342" s="491">
        <v>0</v>
      </c>
      <c r="AK342" s="491">
        <v>0</v>
      </c>
      <c r="AL342" s="609">
        <f>SUM(AF342:AK342)</f>
        <v>0</v>
      </c>
      <c r="AM342" s="676">
        <f>I342+AE342</f>
        <v>14446421</v>
      </c>
      <c r="AN342" s="492">
        <f>J342+V342</f>
        <v>10716930</v>
      </c>
      <c r="AO342" s="492">
        <f t="shared" si="601"/>
        <v>0</v>
      </c>
      <c r="AP342" s="492">
        <f t="shared" si="602"/>
        <v>3622322</v>
      </c>
      <c r="AQ342" s="492">
        <f t="shared" si="602"/>
        <v>107169</v>
      </c>
      <c r="AR342" s="573">
        <f t="shared" si="602"/>
        <v>0</v>
      </c>
      <c r="AS342" s="609">
        <f>O342+AL342</f>
        <v>13.7677</v>
      </c>
    </row>
    <row r="343" spans="1:45" ht="14.1" customHeight="1" x14ac:dyDescent="0.2">
      <c r="A343" s="499">
        <v>83</v>
      </c>
      <c r="B343" s="511">
        <v>2495</v>
      </c>
      <c r="C343" s="512">
        <v>600080196</v>
      </c>
      <c r="D343" s="511">
        <v>70983810</v>
      </c>
      <c r="E343" s="510" t="s">
        <v>674</v>
      </c>
      <c r="F343" s="499">
        <v>3113</v>
      </c>
      <c r="G343" s="513" t="s">
        <v>278</v>
      </c>
      <c r="H343" s="495" t="s">
        <v>263</v>
      </c>
      <c r="I343" s="610">
        <v>2331016</v>
      </c>
      <c r="J343" s="490">
        <v>1729241</v>
      </c>
      <c r="K343" s="490">
        <v>0</v>
      </c>
      <c r="L343" s="14">
        <v>584483</v>
      </c>
      <c r="M343" s="14">
        <v>17292</v>
      </c>
      <c r="N343" s="14">
        <v>0</v>
      </c>
      <c r="O343" s="664">
        <v>3.99</v>
      </c>
      <c r="P343" s="676">
        <f t="shared" si="587"/>
        <v>0</v>
      </c>
      <c r="Q343" s="492">
        <v>0</v>
      </c>
      <c r="R343" s="492">
        <v>0</v>
      </c>
      <c r="S343" s="492">
        <v>0</v>
      </c>
      <c r="T343" s="492">
        <v>0</v>
      </c>
      <c r="U343" s="492">
        <v>0</v>
      </c>
      <c r="V343" s="492">
        <f>P343+Q343+R343+S343+T343+U343</f>
        <v>0</v>
      </c>
      <c r="W343" s="492">
        <v>0</v>
      </c>
      <c r="X343" s="492">
        <v>0</v>
      </c>
      <c r="Y343" s="492">
        <v>0</v>
      </c>
      <c r="Z343" s="492">
        <f t="shared" si="597"/>
        <v>0</v>
      </c>
      <c r="AA343" s="492">
        <f t="shared" si="598"/>
        <v>0</v>
      </c>
      <c r="AB343" s="494">
        <f t="shared" si="599"/>
        <v>0</v>
      </c>
      <c r="AC343" s="494">
        <f t="shared" si="600"/>
        <v>0</v>
      </c>
      <c r="AD343" s="14">
        <v>0</v>
      </c>
      <c r="AE343" s="753">
        <f t="shared" si="588"/>
        <v>0</v>
      </c>
      <c r="AF343" s="858">
        <v>0</v>
      </c>
      <c r="AG343" s="491">
        <v>0</v>
      </c>
      <c r="AH343" s="491">
        <v>0</v>
      </c>
      <c r="AI343" s="491">
        <v>0</v>
      </c>
      <c r="AJ343" s="491">
        <v>0</v>
      </c>
      <c r="AK343" s="491">
        <v>0</v>
      </c>
      <c r="AL343" s="609">
        <f>SUM(AF343:AK343)</f>
        <v>0</v>
      </c>
      <c r="AM343" s="676">
        <f>I343+AE343</f>
        <v>2331016</v>
      </c>
      <c r="AN343" s="492">
        <f>J343+V343</f>
        <v>1729241</v>
      </c>
      <c r="AO343" s="492">
        <f t="shared" si="601"/>
        <v>0</v>
      </c>
      <c r="AP343" s="492">
        <f t="shared" si="602"/>
        <v>584483</v>
      </c>
      <c r="AQ343" s="492">
        <f t="shared" si="602"/>
        <v>17292</v>
      </c>
      <c r="AR343" s="573">
        <f t="shared" si="602"/>
        <v>0</v>
      </c>
      <c r="AS343" s="609">
        <f>O343+AL343</f>
        <v>3.99</v>
      </c>
    </row>
    <row r="344" spans="1:45" ht="14.1" customHeight="1" x14ac:dyDescent="0.2">
      <c r="A344" s="499">
        <v>83</v>
      </c>
      <c r="B344" s="511">
        <v>2495</v>
      </c>
      <c r="C344" s="512">
        <v>600080196</v>
      </c>
      <c r="D344" s="511">
        <v>70983810</v>
      </c>
      <c r="E344" s="510" t="s">
        <v>674</v>
      </c>
      <c r="F344" s="499">
        <v>3143</v>
      </c>
      <c r="G344" s="513" t="s">
        <v>794</v>
      </c>
      <c r="H344" s="495" t="s">
        <v>262</v>
      </c>
      <c r="I344" s="610">
        <v>2210552</v>
      </c>
      <c r="J344" s="14">
        <v>1639875</v>
      </c>
      <c r="K344" s="14">
        <v>0</v>
      </c>
      <c r="L344" s="14">
        <v>554278</v>
      </c>
      <c r="M344" s="14">
        <v>16399</v>
      </c>
      <c r="N344" s="14">
        <v>0</v>
      </c>
      <c r="O344" s="121">
        <v>2.9630000000000001</v>
      </c>
      <c r="P344" s="676">
        <f t="shared" si="587"/>
        <v>0</v>
      </c>
      <c r="Q344" s="492">
        <v>0</v>
      </c>
      <c r="R344" s="492">
        <v>0</v>
      </c>
      <c r="S344" s="492">
        <v>0</v>
      </c>
      <c r="T344" s="492">
        <v>0</v>
      </c>
      <c r="U344" s="492">
        <v>0</v>
      </c>
      <c r="V344" s="492">
        <f>P344+Q344+R344+S344+T344+U344</f>
        <v>0</v>
      </c>
      <c r="W344" s="492">
        <v>0</v>
      </c>
      <c r="X344" s="492">
        <v>0</v>
      </c>
      <c r="Y344" s="492">
        <v>0</v>
      </c>
      <c r="Z344" s="492">
        <f t="shared" si="597"/>
        <v>0</v>
      </c>
      <c r="AA344" s="492">
        <f t="shared" si="598"/>
        <v>0</v>
      </c>
      <c r="AB344" s="494">
        <f t="shared" si="599"/>
        <v>0</v>
      </c>
      <c r="AC344" s="494">
        <f t="shared" si="600"/>
        <v>0</v>
      </c>
      <c r="AD344" s="14">
        <v>0</v>
      </c>
      <c r="AE344" s="753">
        <f t="shared" si="588"/>
        <v>0</v>
      </c>
      <c r="AF344" s="858">
        <v>0</v>
      </c>
      <c r="AG344" s="491">
        <v>0</v>
      </c>
      <c r="AH344" s="491">
        <v>0</v>
      </c>
      <c r="AI344" s="491">
        <v>0</v>
      </c>
      <c r="AJ344" s="491">
        <v>0</v>
      </c>
      <c r="AK344" s="491">
        <v>0</v>
      </c>
      <c r="AL344" s="609">
        <f>SUM(AF344:AK344)</f>
        <v>0</v>
      </c>
      <c r="AM344" s="676">
        <f>I344+AE344</f>
        <v>2210552</v>
      </c>
      <c r="AN344" s="492">
        <f>J344+V344</f>
        <v>1639875</v>
      </c>
      <c r="AO344" s="492">
        <f t="shared" si="601"/>
        <v>0</v>
      </c>
      <c r="AP344" s="492">
        <f t="shared" si="602"/>
        <v>554278</v>
      </c>
      <c r="AQ344" s="492">
        <f t="shared" si="602"/>
        <v>16399</v>
      </c>
      <c r="AR344" s="573">
        <f t="shared" si="602"/>
        <v>0</v>
      </c>
      <c r="AS344" s="609">
        <f>O344+AL344</f>
        <v>2.9630000000000001</v>
      </c>
    </row>
    <row r="345" spans="1:45" ht="14.1" customHeight="1" x14ac:dyDescent="0.2">
      <c r="A345" s="509">
        <v>83</v>
      </c>
      <c r="B345" s="507">
        <v>2495</v>
      </c>
      <c r="C345" s="508">
        <v>600080196</v>
      </c>
      <c r="D345" s="507">
        <v>70983810</v>
      </c>
      <c r="E345" s="505" t="s">
        <v>675</v>
      </c>
      <c r="F345" s="509"/>
      <c r="G345" s="505"/>
      <c r="H345" s="504"/>
      <c r="I345" s="612">
        <v>23729439</v>
      </c>
      <c r="J345" s="503">
        <v>17603442</v>
      </c>
      <c r="K345" s="503">
        <v>0</v>
      </c>
      <c r="L345" s="503">
        <v>5949963</v>
      </c>
      <c r="M345" s="503">
        <v>176034</v>
      </c>
      <c r="N345" s="503">
        <v>0</v>
      </c>
      <c r="O345" s="837">
        <v>26.5533</v>
      </c>
      <c r="P345" s="612">
        <f t="shared" ref="P345:AS345" si="603">SUM(P341:P344)</f>
        <v>0</v>
      </c>
      <c r="Q345" s="502">
        <f t="shared" si="603"/>
        <v>0</v>
      </c>
      <c r="R345" s="502">
        <f t="shared" si="603"/>
        <v>0</v>
      </c>
      <c r="S345" s="502">
        <f t="shared" si="603"/>
        <v>0</v>
      </c>
      <c r="T345" s="502">
        <f t="shared" si="603"/>
        <v>0</v>
      </c>
      <c r="U345" s="502">
        <f t="shared" si="603"/>
        <v>0</v>
      </c>
      <c r="V345" s="502">
        <f t="shared" si="603"/>
        <v>0</v>
      </c>
      <c r="W345" s="502">
        <f t="shared" si="603"/>
        <v>0</v>
      </c>
      <c r="X345" s="502">
        <f t="shared" si="603"/>
        <v>0</v>
      </c>
      <c r="Y345" s="502">
        <f t="shared" si="603"/>
        <v>0</v>
      </c>
      <c r="Z345" s="502">
        <f t="shared" si="603"/>
        <v>0</v>
      </c>
      <c r="AA345" s="502">
        <f t="shared" si="603"/>
        <v>0</v>
      </c>
      <c r="AB345" s="502">
        <f t="shared" si="603"/>
        <v>0</v>
      </c>
      <c r="AC345" s="502">
        <f t="shared" si="603"/>
        <v>0</v>
      </c>
      <c r="AD345" s="502">
        <f t="shared" si="603"/>
        <v>0</v>
      </c>
      <c r="AE345" s="852">
        <f t="shared" si="603"/>
        <v>0</v>
      </c>
      <c r="AF345" s="857">
        <f t="shared" si="603"/>
        <v>0</v>
      </c>
      <c r="AG345" s="848">
        <f t="shared" si="603"/>
        <v>0</v>
      </c>
      <c r="AH345" s="848">
        <f t="shared" si="603"/>
        <v>0</v>
      </c>
      <c r="AI345" s="848">
        <f t="shared" si="603"/>
        <v>0</v>
      </c>
      <c r="AJ345" s="848">
        <f t="shared" si="603"/>
        <v>0</v>
      </c>
      <c r="AK345" s="848">
        <f t="shared" si="603"/>
        <v>0</v>
      </c>
      <c r="AL345" s="613">
        <f t="shared" si="603"/>
        <v>0</v>
      </c>
      <c r="AM345" s="612">
        <f t="shared" si="603"/>
        <v>23729439</v>
      </c>
      <c r="AN345" s="502">
        <f t="shared" si="603"/>
        <v>17603442</v>
      </c>
      <c r="AO345" s="549">
        <f t="shared" si="603"/>
        <v>0</v>
      </c>
      <c r="AP345" s="502">
        <f t="shared" si="603"/>
        <v>5949963</v>
      </c>
      <c r="AQ345" s="502">
        <f t="shared" si="603"/>
        <v>176034</v>
      </c>
      <c r="AR345" s="502">
        <f t="shared" si="603"/>
        <v>0</v>
      </c>
      <c r="AS345" s="613">
        <f t="shared" si="603"/>
        <v>26.5533</v>
      </c>
    </row>
    <row r="346" spans="1:45" ht="14.1" customHeight="1" x14ac:dyDescent="0.2">
      <c r="A346" s="499">
        <v>84</v>
      </c>
      <c r="B346" s="511">
        <v>2305</v>
      </c>
      <c r="C346" s="512">
        <v>650026080</v>
      </c>
      <c r="D346" s="511">
        <v>72741686</v>
      </c>
      <c r="E346" s="510" t="s">
        <v>676</v>
      </c>
      <c r="F346" s="499">
        <v>3111</v>
      </c>
      <c r="G346" s="510" t="s">
        <v>277</v>
      </c>
      <c r="H346" s="495" t="s">
        <v>262</v>
      </c>
      <c r="I346" s="610">
        <v>3219662</v>
      </c>
      <c r="J346" s="14">
        <v>2388473</v>
      </c>
      <c r="K346" s="14">
        <v>0</v>
      </c>
      <c r="L346" s="14">
        <v>807304</v>
      </c>
      <c r="M346" s="14">
        <v>23885</v>
      </c>
      <c r="N346" s="14">
        <v>0</v>
      </c>
      <c r="O346" s="121">
        <v>3.871</v>
      </c>
      <c r="P346" s="676">
        <f t="shared" si="587"/>
        <v>0</v>
      </c>
      <c r="Q346" s="492">
        <v>0</v>
      </c>
      <c r="R346" s="492">
        <v>0</v>
      </c>
      <c r="S346" s="492">
        <v>0</v>
      </c>
      <c r="T346" s="492">
        <v>0</v>
      </c>
      <c r="U346" s="492">
        <v>0</v>
      </c>
      <c r="V346" s="492">
        <f>P346+Q346+R346+S346+T346+U346</f>
        <v>0</v>
      </c>
      <c r="W346" s="492">
        <v>0</v>
      </c>
      <c r="X346" s="492">
        <v>0</v>
      </c>
      <c r="Y346" s="492">
        <v>0</v>
      </c>
      <c r="Z346" s="492">
        <f t="shared" ref="Z346:Z349" si="604">W346+X346+Y346</f>
        <v>0</v>
      </c>
      <c r="AA346" s="492">
        <f t="shared" ref="AA346:AA349" si="605">V346+Z346</f>
        <v>0</v>
      </c>
      <c r="AB346" s="494">
        <f t="shared" ref="AB346:AB349" si="606">ROUND((V346+Z346)*33.8%,0)</f>
        <v>0</v>
      </c>
      <c r="AC346" s="494">
        <f t="shared" ref="AC346:AC349" si="607">ROUND(V346*1%,0)</f>
        <v>0</v>
      </c>
      <c r="AD346" s="14">
        <v>0</v>
      </c>
      <c r="AE346" s="753">
        <f t="shared" si="588"/>
        <v>0</v>
      </c>
      <c r="AF346" s="858">
        <v>0</v>
      </c>
      <c r="AG346" s="491">
        <v>0</v>
      </c>
      <c r="AH346" s="491">
        <v>0</v>
      </c>
      <c r="AI346" s="491">
        <v>0</v>
      </c>
      <c r="AJ346" s="491">
        <v>0</v>
      </c>
      <c r="AK346" s="491">
        <v>0</v>
      </c>
      <c r="AL346" s="609">
        <f>SUM(AF346:AK346)</f>
        <v>0</v>
      </c>
      <c r="AM346" s="676">
        <f>I346+AE346</f>
        <v>3219662</v>
      </c>
      <c r="AN346" s="492">
        <f>J346+V346</f>
        <v>2388473</v>
      </c>
      <c r="AO346" s="492">
        <f t="shared" ref="AO346:AO349" si="608">K346+Z346</f>
        <v>0</v>
      </c>
      <c r="AP346" s="492">
        <f t="shared" ref="AP346:AR349" si="609">L346+AB346</f>
        <v>807304</v>
      </c>
      <c r="AQ346" s="492">
        <f t="shared" si="609"/>
        <v>23885</v>
      </c>
      <c r="AR346" s="573">
        <f t="shared" si="609"/>
        <v>0</v>
      </c>
      <c r="AS346" s="609">
        <f>O346+AL346</f>
        <v>3.871</v>
      </c>
    </row>
    <row r="347" spans="1:45" ht="14.1" customHeight="1" x14ac:dyDescent="0.2">
      <c r="A347" s="499">
        <v>84</v>
      </c>
      <c r="B347" s="511">
        <v>2305</v>
      </c>
      <c r="C347" s="512">
        <v>650026080</v>
      </c>
      <c r="D347" s="511">
        <v>72741686</v>
      </c>
      <c r="E347" s="510" t="s">
        <v>676</v>
      </c>
      <c r="F347" s="499">
        <v>3117</v>
      </c>
      <c r="G347" s="510" t="s">
        <v>280</v>
      </c>
      <c r="H347" s="495" t="s">
        <v>262</v>
      </c>
      <c r="I347" s="610">
        <v>8198289</v>
      </c>
      <c r="J347" s="14">
        <v>6081817</v>
      </c>
      <c r="K347" s="14">
        <v>0</v>
      </c>
      <c r="L347" s="14">
        <v>2055654</v>
      </c>
      <c r="M347" s="14">
        <v>60818</v>
      </c>
      <c r="N347" s="14">
        <v>0</v>
      </c>
      <c r="O347" s="121">
        <v>8.9551999999999996</v>
      </c>
      <c r="P347" s="676">
        <f t="shared" si="587"/>
        <v>0</v>
      </c>
      <c r="Q347" s="492">
        <v>0</v>
      </c>
      <c r="R347" s="492">
        <v>0</v>
      </c>
      <c r="S347" s="492">
        <v>0</v>
      </c>
      <c r="T347" s="492">
        <v>0</v>
      </c>
      <c r="U347" s="492">
        <v>0</v>
      </c>
      <c r="V347" s="492">
        <f>P347+Q347+R347+S347+T347+U347</f>
        <v>0</v>
      </c>
      <c r="W347" s="492">
        <v>0</v>
      </c>
      <c r="X347" s="492">
        <v>0</v>
      </c>
      <c r="Y347" s="492">
        <v>0</v>
      </c>
      <c r="Z347" s="492">
        <f t="shared" si="604"/>
        <v>0</v>
      </c>
      <c r="AA347" s="492">
        <f t="shared" si="605"/>
        <v>0</v>
      </c>
      <c r="AB347" s="494">
        <f t="shared" si="606"/>
        <v>0</v>
      </c>
      <c r="AC347" s="494">
        <f t="shared" si="607"/>
        <v>0</v>
      </c>
      <c r="AD347" s="14">
        <v>0</v>
      </c>
      <c r="AE347" s="753">
        <f t="shared" si="588"/>
        <v>0</v>
      </c>
      <c r="AF347" s="858">
        <v>0</v>
      </c>
      <c r="AG347" s="491">
        <v>0</v>
      </c>
      <c r="AH347" s="491">
        <v>0</v>
      </c>
      <c r="AI347" s="491">
        <v>0</v>
      </c>
      <c r="AJ347" s="491">
        <v>0</v>
      </c>
      <c r="AK347" s="491">
        <v>0</v>
      </c>
      <c r="AL347" s="609">
        <f>SUM(AF347:AK347)</f>
        <v>0</v>
      </c>
      <c r="AM347" s="676">
        <f>I347+AE347</f>
        <v>8198289</v>
      </c>
      <c r="AN347" s="492">
        <f>J347+V347</f>
        <v>6081817</v>
      </c>
      <c r="AO347" s="492">
        <f t="shared" si="608"/>
        <v>0</v>
      </c>
      <c r="AP347" s="492">
        <f t="shared" si="609"/>
        <v>2055654</v>
      </c>
      <c r="AQ347" s="492">
        <f t="shared" si="609"/>
        <v>60818</v>
      </c>
      <c r="AR347" s="573">
        <f t="shared" si="609"/>
        <v>0</v>
      </c>
      <c r="AS347" s="609">
        <f>O347+AL347</f>
        <v>8.9551999999999996</v>
      </c>
    </row>
    <row r="348" spans="1:45" ht="14.1" customHeight="1" x14ac:dyDescent="0.2">
      <c r="A348" s="499">
        <v>84</v>
      </c>
      <c r="B348" s="511">
        <v>2305</v>
      </c>
      <c r="C348" s="512">
        <v>650026080</v>
      </c>
      <c r="D348" s="511">
        <v>72741686</v>
      </c>
      <c r="E348" s="510" t="s">
        <v>676</v>
      </c>
      <c r="F348" s="499">
        <v>3117</v>
      </c>
      <c r="G348" s="513" t="s">
        <v>278</v>
      </c>
      <c r="H348" s="495" t="s">
        <v>263</v>
      </c>
      <c r="I348" s="610">
        <v>1952842</v>
      </c>
      <c r="J348" s="490">
        <v>1448696</v>
      </c>
      <c r="K348" s="490">
        <v>0</v>
      </c>
      <c r="L348" s="14">
        <v>489659</v>
      </c>
      <c r="M348" s="14">
        <v>14487</v>
      </c>
      <c r="N348" s="14">
        <v>0</v>
      </c>
      <c r="O348" s="664">
        <v>3.5500000000000003</v>
      </c>
      <c r="P348" s="676">
        <f t="shared" si="587"/>
        <v>0</v>
      </c>
      <c r="Q348" s="492">
        <v>19868</v>
      </c>
      <c r="R348" s="492">
        <v>0</v>
      </c>
      <c r="S348" s="492">
        <v>0</v>
      </c>
      <c r="T348" s="492">
        <v>0</v>
      </c>
      <c r="U348" s="492">
        <v>0</v>
      </c>
      <c r="V348" s="492">
        <f>P348+Q348+R348+S348+T348+U348</f>
        <v>19868</v>
      </c>
      <c r="W348" s="492">
        <v>0</v>
      </c>
      <c r="X348" s="492">
        <v>0</v>
      </c>
      <c r="Y348" s="492">
        <v>0</v>
      </c>
      <c r="Z348" s="492">
        <f t="shared" si="604"/>
        <v>0</v>
      </c>
      <c r="AA348" s="492">
        <f t="shared" si="605"/>
        <v>19868</v>
      </c>
      <c r="AB348" s="494">
        <f t="shared" si="606"/>
        <v>6715</v>
      </c>
      <c r="AC348" s="494">
        <f t="shared" si="607"/>
        <v>199</v>
      </c>
      <c r="AD348" s="14">
        <v>0</v>
      </c>
      <c r="AE348" s="753">
        <f t="shared" si="588"/>
        <v>26782</v>
      </c>
      <c r="AF348" s="858">
        <v>0</v>
      </c>
      <c r="AG348" s="491">
        <v>0.04</v>
      </c>
      <c r="AH348" s="491">
        <v>0</v>
      </c>
      <c r="AI348" s="491">
        <v>0</v>
      </c>
      <c r="AJ348" s="491">
        <v>0</v>
      </c>
      <c r="AK348" s="491">
        <v>0</v>
      </c>
      <c r="AL348" s="609">
        <f>SUM(AF348:AK348)</f>
        <v>0.04</v>
      </c>
      <c r="AM348" s="676">
        <f>I348+AE348</f>
        <v>1979624</v>
      </c>
      <c r="AN348" s="492">
        <f>J348+V348</f>
        <v>1468564</v>
      </c>
      <c r="AO348" s="492">
        <f t="shared" si="608"/>
        <v>0</v>
      </c>
      <c r="AP348" s="492">
        <f t="shared" si="609"/>
        <v>496374</v>
      </c>
      <c r="AQ348" s="492">
        <f t="shared" si="609"/>
        <v>14686</v>
      </c>
      <c r="AR348" s="573">
        <f t="shared" si="609"/>
        <v>0</v>
      </c>
      <c r="AS348" s="609">
        <f>O348+AL348</f>
        <v>3.5900000000000003</v>
      </c>
    </row>
    <row r="349" spans="1:45" ht="14.1" customHeight="1" x14ac:dyDescent="0.2">
      <c r="A349" s="499">
        <v>84</v>
      </c>
      <c r="B349" s="511">
        <v>2305</v>
      </c>
      <c r="C349" s="512">
        <v>650026080</v>
      </c>
      <c r="D349" s="511">
        <v>72741686</v>
      </c>
      <c r="E349" s="510" t="s">
        <v>676</v>
      </c>
      <c r="F349" s="499">
        <v>3143</v>
      </c>
      <c r="G349" s="513" t="s">
        <v>794</v>
      </c>
      <c r="H349" s="495" t="s">
        <v>262</v>
      </c>
      <c r="I349" s="610">
        <v>1509498</v>
      </c>
      <c r="J349" s="14">
        <v>1119806</v>
      </c>
      <c r="K349" s="14">
        <v>0</v>
      </c>
      <c r="L349" s="14">
        <v>378494</v>
      </c>
      <c r="M349" s="14">
        <v>11198</v>
      </c>
      <c r="N349" s="14">
        <v>0</v>
      </c>
      <c r="O349" s="121">
        <v>2</v>
      </c>
      <c r="P349" s="676">
        <f t="shared" si="587"/>
        <v>0</v>
      </c>
      <c r="Q349" s="492">
        <v>0</v>
      </c>
      <c r="R349" s="492">
        <v>0</v>
      </c>
      <c r="S349" s="492">
        <v>0</v>
      </c>
      <c r="T349" s="492">
        <v>0</v>
      </c>
      <c r="U349" s="492">
        <v>0</v>
      </c>
      <c r="V349" s="492">
        <f>P349+Q349+R349+S349+T349+U349</f>
        <v>0</v>
      </c>
      <c r="W349" s="492">
        <v>0</v>
      </c>
      <c r="X349" s="492">
        <v>0</v>
      </c>
      <c r="Y349" s="492">
        <v>0</v>
      </c>
      <c r="Z349" s="492">
        <f t="shared" si="604"/>
        <v>0</v>
      </c>
      <c r="AA349" s="492">
        <f t="shared" si="605"/>
        <v>0</v>
      </c>
      <c r="AB349" s="494">
        <f t="shared" si="606"/>
        <v>0</v>
      </c>
      <c r="AC349" s="494">
        <f t="shared" si="607"/>
        <v>0</v>
      </c>
      <c r="AD349" s="14">
        <v>0</v>
      </c>
      <c r="AE349" s="753">
        <f t="shared" si="588"/>
        <v>0</v>
      </c>
      <c r="AF349" s="858">
        <v>0</v>
      </c>
      <c r="AG349" s="491">
        <v>0</v>
      </c>
      <c r="AH349" s="491">
        <v>0</v>
      </c>
      <c r="AI349" s="491">
        <v>0</v>
      </c>
      <c r="AJ349" s="491">
        <v>0</v>
      </c>
      <c r="AK349" s="491">
        <v>0</v>
      </c>
      <c r="AL349" s="609">
        <f>SUM(AF349:AK349)</f>
        <v>0</v>
      </c>
      <c r="AM349" s="676">
        <f>I349+AE349</f>
        <v>1509498</v>
      </c>
      <c r="AN349" s="492">
        <f>J349+V349</f>
        <v>1119806</v>
      </c>
      <c r="AO349" s="492">
        <f t="shared" si="608"/>
        <v>0</v>
      </c>
      <c r="AP349" s="492">
        <f t="shared" si="609"/>
        <v>378494</v>
      </c>
      <c r="AQ349" s="492">
        <f t="shared" si="609"/>
        <v>11198</v>
      </c>
      <c r="AR349" s="573">
        <f t="shared" si="609"/>
        <v>0</v>
      </c>
      <c r="AS349" s="609">
        <f>O349+AL349</f>
        <v>2</v>
      </c>
    </row>
    <row r="350" spans="1:45" ht="14.1" customHeight="1" x14ac:dyDescent="0.2">
      <c r="A350" s="509">
        <v>84</v>
      </c>
      <c r="B350" s="507">
        <v>2305</v>
      </c>
      <c r="C350" s="508">
        <v>650026080</v>
      </c>
      <c r="D350" s="507">
        <v>72741686</v>
      </c>
      <c r="E350" s="505" t="s">
        <v>677</v>
      </c>
      <c r="F350" s="509"/>
      <c r="G350" s="505"/>
      <c r="H350" s="504"/>
      <c r="I350" s="612">
        <v>14880291</v>
      </c>
      <c r="J350" s="503">
        <v>11038792</v>
      </c>
      <c r="K350" s="503">
        <v>0</v>
      </c>
      <c r="L350" s="503">
        <v>3731111</v>
      </c>
      <c r="M350" s="503">
        <v>110388</v>
      </c>
      <c r="N350" s="503">
        <v>0</v>
      </c>
      <c r="O350" s="837">
        <v>18.376200000000001</v>
      </c>
      <c r="P350" s="612">
        <f t="shared" ref="P350:AS350" si="610">SUM(P346:P349)</f>
        <v>0</v>
      </c>
      <c r="Q350" s="502">
        <f t="shared" si="610"/>
        <v>19868</v>
      </c>
      <c r="R350" s="502">
        <f t="shared" si="610"/>
        <v>0</v>
      </c>
      <c r="S350" s="502">
        <f t="shared" si="610"/>
        <v>0</v>
      </c>
      <c r="T350" s="502">
        <f t="shared" si="610"/>
        <v>0</v>
      </c>
      <c r="U350" s="502">
        <f t="shared" si="610"/>
        <v>0</v>
      </c>
      <c r="V350" s="502">
        <f t="shared" si="610"/>
        <v>19868</v>
      </c>
      <c r="W350" s="502">
        <f t="shared" si="610"/>
        <v>0</v>
      </c>
      <c r="X350" s="502">
        <f t="shared" si="610"/>
        <v>0</v>
      </c>
      <c r="Y350" s="502">
        <f t="shared" si="610"/>
        <v>0</v>
      </c>
      <c r="Z350" s="502">
        <f t="shared" si="610"/>
        <v>0</v>
      </c>
      <c r="AA350" s="502">
        <f t="shared" si="610"/>
        <v>19868</v>
      </c>
      <c r="AB350" s="502">
        <f t="shared" si="610"/>
        <v>6715</v>
      </c>
      <c r="AC350" s="502">
        <f t="shared" si="610"/>
        <v>199</v>
      </c>
      <c r="AD350" s="502">
        <f t="shared" si="610"/>
        <v>0</v>
      </c>
      <c r="AE350" s="852">
        <f t="shared" si="610"/>
        <v>26782</v>
      </c>
      <c r="AF350" s="857">
        <f t="shared" si="610"/>
        <v>0</v>
      </c>
      <c r="AG350" s="848">
        <f t="shared" si="610"/>
        <v>0.04</v>
      </c>
      <c r="AH350" s="848">
        <f t="shared" si="610"/>
        <v>0</v>
      </c>
      <c r="AI350" s="848">
        <f t="shared" si="610"/>
        <v>0</v>
      </c>
      <c r="AJ350" s="848">
        <f t="shared" si="610"/>
        <v>0</v>
      </c>
      <c r="AK350" s="848">
        <f t="shared" si="610"/>
        <v>0</v>
      </c>
      <c r="AL350" s="613">
        <f t="shared" si="610"/>
        <v>0.04</v>
      </c>
      <c r="AM350" s="612">
        <f t="shared" si="610"/>
        <v>14907073</v>
      </c>
      <c r="AN350" s="502">
        <f t="shared" si="610"/>
        <v>11058660</v>
      </c>
      <c r="AO350" s="549">
        <f t="shared" si="610"/>
        <v>0</v>
      </c>
      <c r="AP350" s="502">
        <f t="shared" si="610"/>
        <v>3737826</v>
      </c>
      <c r="AQ350" s="502">
        <f t="shared" si="610"/>
        <v>110587</v>
      </c>
      <c r="AR350" s="502">
        <f t="shared" si="610"/>
        <v>0</v>
      </c>
      <c r="AS350" s="613">
        <f t="shared" si="610"/>
        <v>18.4162</v>
      </c>
    </row>
    <row r="351" spans="1:45" ht="14.1" customHeight="1" x14ac:dyDescent="0.2">
      <c r="A351" s="499">
        <v>85</v>
      </c>
      <c r="B351" s="511">
        <v>2498</v>
      </c>
      <c r="C351" s="512">
        <v>650021576</v>
      </c>
      <c r="D351" s="511">
        <v>70695539</v>
      </c>
      <c r="E351" s="510" t="s">
        <v>678</v>
      </c>
      <c r="F351" s="499">
        <v>3111</v>
      </c>
      <c r="G351" s="510" t="s">
        <v>277</v>
      </c>
      <c r="H351" s="495" t="s">
        <v>262</v>
      </c>
      <c r="I351" s="610">
        <v>5008123</v>
      </c>
      <c r="J351" s="14">
        <v>3715225</v>
      </c>
      <c r="K351" s="14">
        <v>0</v>
      </c>
      <c r="L351" s="14">
        <v>1255746</v>
      </c>
      <c r="M351" s="14">
        <v>37152</v>
      </c>
      <c r="N351" s="14">
        <v>0</v>
      </c>
      <c r="O351" s="121">
        <v>6</v>
      </c>
      <c r="P351" s="676">
        <f t="shared" si="587"/>
        <v>0</v>
      </c>
      <c r="Q351" s="492">
        <v>0</v>
      </c>
      <c r="R351" s="492">
        <v>0</v>
      </c>
      <c r="S351" s="492">
        <v>0</v>
      </c>
      <c r="T351" s="492">
        <v>0</v>
      </c>
      <c r="U351" s="492">
        <v>0</v>
      </c>
      <c r="V351" s="492">
        <f>P351+Q351+R351+S351+T351+U351</f>
        <v>0</v>
      </c>
      <c r="W351" s="492">
        <v>0</v>
      </c>
      <c r="X351" s="492">
        <v>0</v>
      </c>
      <c r="Y351" s="492">
        <v>0</v>
      </c>
      <c r="Z351" s="492">
        <f t="shared" ref="Z351:Z355" si="611">W351+X351+Y351</f>
        <v>0</v>
      </c>
      <c r="AA351" s="492">
        <f t="shared" ref="AA351:AA355" si="612">V351+Z351</f>
        <v>0</v>
      </c>
      <c r="AB351" s="494">
        <f t="shared" ref="AB351:AB355" si="613">ROUND((V351+Z351)*33.8%,0)</f>
        <v>0</v>
      </c>
      <c r="AC351" s="494">
        <f t="shared" ref="AC351:AC355" si="614">ROUND(V351*1%,0)</f>
        <v>0</v>
      </c>
      <c r="AD351" s="14">
        <v>0</v>
      </c>
      <c r="AE351" s="753">
        <f t="shared" si="588"/>
        <v>0</v>
      </c>
      <c r="AF351" s="858">
        <v>0</v>
      </c>
      <c r="AG351" s="491">
        <v>0</v>
      </c>
      <c r="AH351" s="491">
        <v>0</v>
      </c>
      <c r="AI351" s="491">
        <v>0</v>
      </c>
      <c r="AJ351" s="491">
        <v>0</v>
      </c>
      <c r="AK351" s="491">
        <v>0</v>
      </c>
      <c r="AL351" s="609">
        <f>SUM(AF351:AK351)</f>
        <v>0</v>
      </c>
      <c r="AM351" s="676">
        <f>I351+AE351</f>
        <v>5008123</v>
      </c>
      <c r="AN351" s="492">
        <f>J351+V351</f>
        <v>3715225</v>
      </c>
      <c r="AO351" s="492">
        <f t="shared" ref="AO351:AO355" si="615">K351+Z351</f>
        <v>0</v>
      </c>
      <c r="AP351" s="492">
        <f t="shared" ref="AP351:AR355" si="616">L351+AB351</f>
        <v>1255746</v>
      </c>
      <c r="AQ351" s="492">
        <f t="shared" si="616"/>
        <v>37152</v>
      </c>
      <c r="AR351" s="573">
        <f t="shared" si="616"/>
        <v>0</v>
      </c>
      <c r="AS351" s="609">
        <f>O351+AL351</f>
        <v>6</v>
      </c>
    </row>
    <row r="352" spans="1:45" ht="14.1" customHeight="1" x14ac:dyDescent="0.2">
      <c r="A352" s="499">
        <v>85</v>
      </c>
      <c r="B352" s="511">
        <v>2498</v>
      </c>
      <c r="C352" s="512">
        <v>650021576</v>
      </c>
      <c r="D352" s="511">
        <v>70695539</v>
      </c>
      <c r="E352" s="510" t="s">
        <v>678</v>
      </c>
      <c r="F352" s="499">
        <v>3113</v>
      </c>
      <c r="G352" s="510" t="s">
        <v>280</v>
      </c>
      <c r="H352" s="495" t="s">
        <v>262</v>
      </c>
      <c r="I352" s="610">
        <v>16991923</v>
      </c>
      <c r="J352" s="14">
        <v>12605284</v>
      </c>
      <c r="K352" s="14">
        <v>0</v>
      </c>
      <c r="L352" s="14">
        <v>4260586</v>
      </c>
      <c r="M352" s="14">
        <v>126053</v>
      </c>
      <c r="N352" s="14">
        <v>0</v>
      </c>
      <c r="O352" s="121">
        <v>17.221499999999999</v>
      </c>
      <c r="P352" s="676">
        <f t="shared" si="587"/>
        <v>0</v>
      </c>
      <c r="Q352" s="492">
        <v>0</v>
      </c>
      <c r="R352" s="492">
        <v>0</v>
      </c>
      <c r="S352" s="492">
        <v>0</v>
      </c>
      <c r="T352" s="492">
        <v>0</v>
      </c>
      <c r="U352" s="492">
        <v>0</v>
      </c>
      <c r="V352" s="492">
        <f>P352+Q352+R352+S352+T352+U352</f>
        <v>0</v>
      </c>
      <c r="W352" s="492">
        <v>0</v>
      </c>
      <c r="X352" s="492">
        <v>0</v>
      </c>
      <c r="Y352" s="492">
        <v>0</v>
      </c>
      <c r="Z352" s="492">
        <f t="shared" si="611"/>
        <v>0</v>
      </c>
      <c r="AA352" s="492">
        <f t="shared" si="612"/>
        <v>0</v>
      </c>
      <c r="AB352" s="494">
        <f t="shared" si="613"/>
        <v>0</v>
      </c>
      <c r="AC352" s="494">
        <f t="shared" si="614"/>
        <v>0</v>
      </c>
      <c r="AD352" s="14">
        <v>0</v>
      </c>
      <c r="AE352" s="753">
        <f t="shared" si="588"/>
        <v>0</v>
      </c>
      <c r="AF352" s="858">
        <v>0</v>
      </c>
      <c r="AG352" s="491">
        <v>0</v>
      </c>
      <c r="AH352" s="491">
        <v>0</v>
      </c>
      <c r="AI352" s="491">
        <v>0</v>
      </c>
      <c r="AJ352" s="491">
        <v>0</v>
      </c>
      <c r="AK352" s="491">
        <v>0</v>
      </c>
      <c r="AL352" s="609">
        <f>SUM(AF352:AK352)</f>
        <v>0</v>
      </c>
      <c r="AM352" s="676">
        <f>I352+AE352</f>
        <v>16991923</v>
      </c>
      <c r="AN352" s="492">
        <f>J352+V352</f>
        <v>12605284</v>
      </c>
      <c r="AO352" s="492">
        <f t="shared" si="615"/>
        <v>0</v>
      </c>
      <c r="AP352" s="492">
        <f t="shared" si="616"/>
        <v>4260586</v>
      </c>
      <c r="AQ352" s="492">
        <f t="shared" si="616"/>
        <v>126053</v>
      </c>
      <c r="AR352" s="573">
        <f t="shared" si="616"/>
        <v>0</v>
      </c>
      <c r="AS352" s="609">
        <f>O352+AL352</f>
        <v>17.221499999999999</v>
      </c>
    </row>
    <row r="353" spans="1:45" ht="14.1" customHeight="1" x14ac:dyDescent="0.2">
      <c r="A353" s="499">
        <v>85</v>
      </c>
      <c r="B353" s="511">
        <v>2498</v>
      </c>
      <c r="C353" s="512">
        <v>650021576</v>
      </c>
      <c r="D353" s="511">
        <v>70695539</v>
      </c>
      <c r="E353" s="510" t="s">
        <v>678</v>
      </c>
      <c r="F353" s="499">
        <v>3113</v>
      </c>
      <c r="G353" s="510" t="s">
        <v>799</v>
      </c>
      <c r="H353" s="495" t="s">
        <v>262</v>
      </c>
      <c r="I353" s="610">
        <v>419678</v>
      </c>
      <c r="J353" s="14">
        <v>311334</v>
      </c>
      <c r="K353" s="14">
        <v>0</v>
      </c>
      <c r="L353" s="14">
        <v>105231</v>
      </c>
      <c r="M353" s="14">
        <v>3113</v>
      </c>
      <c r="N353" s="14">
        <v>0</v>
      </c>
      <c r="O353" s="121">
        <v>0.5</v>
      </c>
      <c r="P353" s="676">
        <f t="shared" si="587"/>
        <v>0</v>
      </c>
      <c r="Q353" s="492">
        <v>0</v>
      </c>
      <c r="R353" s="492">
        <v>0</v>
      </c>
      <c r="S353" s="492">
        <v>0</v>
      </c>
      <c r="T353" s="492">
        <v>0</v>
      </c>
      <c r="U353" s="492">
        <v>0</v>
      </c>
      <c r="V353" s="492">
        <f>P353+Q353+R353+S353+T353+U353</f>
        <v>0</v>
      </c>
      <c r="W353" s="492">
        <v>0</v>
      </c>
      <c r="X353" s="492">
        <v>0</v>
      </c>
      <c r="Y353" s="492">
        <v>0</v>
      </c>
      <c r="Z353" s="492">
        <f t="shared" ref="Z353" si="617">W353+X353+Y353</f>
        <v>0</v>
      </c>
      <c r="AA353" s="492">
        <f t="shared" ref="AA353" si="618">V353+Z353</f>
        <v>0</v>
      </c>
      <c r="AB353" s="494">
        <f t="shared" ref="AB353" si="619">ROUND((V353+Z353)*33.8%,0)</f>
        <v>0</v>
      </c>
      <c r="AC353" s="494">
        <f t="shared" ref="AC353" si="620">ROUND(V353*1%,0)</f>
        <v>0</v>
      </c>
      <c r="AD353" s="14">
        <v>0</v>
      </c>
      <c r="AE353" s="753">
        <f t="shared" si="588"/>
        <v>0</v>
      </c>
      <c r="AF353" s="858">
        <v>0</v>
      </c>
      <c r="AG353" s="491">
        <v>0</v>
      </c>
      <c r="AH353" s="491">
        <v>0</v>
      </c>
      <c r="AI353" s="491">
        <v>0</v>
      </c>
      <c r="AJ353" s="491">
        <v>0</v>
      </c>
      <c r="AK353" s="491">
        <v>0</v>
      </c>
      <c r="AL353" s="609">
        <f>SUM(AF353:AK353)</f>
        <v>0</v>
      </c>
      <c r="AM353" s="676">
        <f>I353+AE353</f>
        <v>419678</v>
      </c>
      <c r="AN353" s="492">
        <f>J353+V353</f>
        <v>311334</v>
      </c>
      <c r="AO353" s="492">
        <f t="shared" si="615"/>
        <v>0</v>
      </c>
      <c r="AP353" s="492">
        <f t="shared" si="616"/>
        <v>105231</v>
      </c>
      <c r="AQ353" s="492">
        <f t="shared" si="616"/>
        <v>3113</v>
      </c>
      <c r="AR353" s="573">
        <f t="shared" si="616"/>
        <v>0</v>
      </c>
      <c r="AS353" s="609">
        <f>O353+AL353</f>
        <v>0.5</v>
      </c>
    </row>
    <row r="354" spans="1:45" ht="14.1" customHeight="1" x14ac:dyDescent="0.2">
      <c r="A354" s="499">
        <v>85</v>
      </c>
      <c r="B354" s="511">
        <v>2498</v>
      </c>
      <c r="C354" s="512">
        <v>650021576</v>
      </c>
      <c r="D354" s="511">
        <v>70695539</v>
      </c>
      <c r="E354" s="510" t="s">
        <v>678</v>
      </c>
      <c r="F354" s="499">
        <v>3113</v>
      </c>
      <c r="G354" s="513" t="s">
        <v>278</v>
      </c>
      <c r="H354" s="495" t="s">
        <v>263</v>
      </c>
      <c r="I354" s="610">
        <v>2843769</v>
      </c>
      <c r="J354" s="490">
        <v>2109621</v>
      </c>
      <c r="K354" s="490">
        <v>0</v>
      </c>
      <c r="L354" s="14">
        <v>713052</v>
      </c>
      <c r="M354" s="14">
        <v>21096</v>
      </c>
      <c r="N354" s="14">
        <v>0</v>
      </c>
      <c r="O354" s="664">
        <v>5.29</v>
      </c>
      <c r="P354" s="676">
        <f t="shared" si="587"/>
        <v>0</v>
      </c>
      <c r="Q354" s="492">
        <v>187428</v>
      </c>
      <c r="R354" s="492">
        <v>0</v>
      </c>
      <c r="S354" s="492">
        <v>0</v>
      </c>
      <c r="T354" s="492">
        <v>0</v>
      </c>
      <c r="U354" s="492">
        <v>0</v>
      </c>
      <c r="V354" s="492">
        <f>P354+Q354+R354+S354+T354+U354</f>
        <v>187428</v>
      </c>
      <c r="W354" s="492">
        <v>0</v>
      </c>
      <c r="X354" s="492">
        <v>0</v>
      </c>
      <c r="Y354" s="492">
        <v>0</v>
      </c>
      <c r="Z354" s="492">
        <f t="shared" si="611"/>
        <v>0</v>
      </c>
      <c r="AA354" s="492">
        <f t="shared" si="612"/>
        <v>187428</v>
      </c>
      <c r="AB354" s="494">
        <f t="shared" si="613"/>
        <v>63351</v>
      </c>
      <c r="AC354" s="494">
        <f t="shared" si="614"/>
        <v>1874</v>
      </c>
      <c r="AD354" s="14">
        <v>0</v>
      </c>
      <c r="AE354" s="753">
        <f t="shared" si="588"/>
        <v>252653</v>
      </c>
      <c r="AF354" s="858">
        <v>0</v>
      </c>
      <c r="AG354" s="491">
        <v>0.46</v>
      </c>
      <c r="AH354" s="491">
        <v>0</v>
      </c>
      <c r="AI354" s="491">
        <v>0</v>
      </c>
      <c r="AJ354" s="491">
        <v>0</v>
      </c>
      <c r="AK354" s="491">
        <v>0</v>
      </c>
      <c r="AL354" s="609">
        <f>SUM(AF354:AK354)</f>
        <v>0.46</v>
      </c>
      <c r="AM354" s="676">
        <f>I354+AE354</f>
        <v>3096422</v>
      </c>
      <c r="AN354" s="492">
        <f>J354+V354</f>
        <v>2297049</v>
      </c>
      <c r="AO354" s="492">
        <f t="shared" si="615"/>
        <v>0</v>
      </c>
      <c r="AP354" s="492">
        <f t="shared" si="616"/>
        <v>776403</v>
      </c>
      <c r="AQ354" s="492">
        <f t="shared" si="616"/>
        <v>22970</v>
      </c>
      <c r="AR354" s="573">
        <f t="shared" si="616"/>
        <v>0</v>
      </c>
      <c r="AS354" s="609">
        <f>O354+AL354</f>
        <v>5.75</v>
      </c>
    </row>
    <row r="355" spans="1:45" ht="14.1" customHeight="1" x14ac:dyDescent="0.2">
      <c r="A355" s="499">
        <v>85</v>
      </c>
      <c r="B355" s="511">
        <v>2498</v>
      </c>
      <c r="C355" s="512">
        <v>650021576</v>
      </c>
      <c r="D355" s="511">
        <v>70695539</v>
      </c>
      <c r="E355" s="510" t="s">
        <v>678</v>
      </c>
      <c r="F355" s="499">
        <v>3143</v>
      </c>
      <c r="G355" s="513" t="s">
        <v>795</v>
      </c>
      <c r="H355" s="495" t="s">
        <v>262</v>
      </c>
      <c r="I355" s="610">
        <v>2000138</v>
      </c>
      <c r="J355" s="14">
        <v>1483782</v>
      </c>
      <c r="K355" s="14">
        <v>0</v>
      </c>
      <c r="L355" s="14">
        <v>501518</v>
      </c>
      <c r="M355" s="14">
        <v>14838</v>
      </c>
      <c r="N355" s="14">
        <v>0</v>
      </c>
      <c r="O355" s="121">
        <v>2.8571</v>
      </c>
      <c r="P355" s="676">
        <f t="shared" si="587"/>
        <v>0</v>
      </c>
      <c r="Q355" s="492">
        <v>0</v>
      </c>
      <c r="R355" s="492">
        <v>0</v>
      </c>
      <c r="S355" s="492">
        <v>0</v>
      </c>
      <c r="T355" s="492">
        <v>0</v>
      </c>
      <c r="U355" s="492">
        <v>0</v>
      </c>
      <c r="V355" s="492">
        <f>P355+Q355+R355+S355+T355+U355</f>
        <v>0</v>
      </c>
      <c r="W355" s="492">
        <v>0</v>
      </c>
      <c r="X355" s="492">
        <v>0</v>
      </c>
      <c r="Y355" s="492">
        <v>0</v>
      </c>
      <c r="Z355" s="492">
        <f t="shared" si="611"/>
        <v>0</v>
      </c>
      <c r="AA355" s="492">
        <f t="shared" si="612"/>
        <v>0</v>
      </c>
      <c r="AB355" s="494">
        <f t="shared" si="613"/>
        <v>0</v>
      </c>
      <c r="AC355" s="494">
        <f t="shared" si="614"/>
        <v>0</v>
      </c>
      <c r="AD355" s="14">
        <v>0</v>
      </c>
      <c r="AE355" s="753">
        <f t="shared" si="588"/>
        <v>0</v>
      </c>
      <c r="AF355" s="858">
        <v>0</v>
      </c>
      <c r="AG355" s="491">
        <v>0</v>
      </c>
      <c r="AH355" s="491">
        <v>0</v>
      </c>
      <c r="AI355" s="491">
        <v>0</v>
      </c>
      <c r="AJ355" s="491">
        <v>0</v>
      </c>
      <c r="AK355" s="491">
        <v>0</v>
      </c>
      <c r="AL355" s="609">
        <f>SUM(AF355:AK355)</f>
        <v>0</v>
      </c>
      <c r="AM355" s="676">
        <f>I355+AE355</f>
        <v>2000138</v>
      </c>
      <c r="AN355" s="492">
        <f>J355+V355</f>
        <v>1483782</v>
      </c>
      <c r="AO355" s="492">
        <f t="shared" si="615"/>
        <v>0</v>
      </c>
      <c r="AP355" s="492">
        <f t="shared" si="616"/>
        <v>501518</v>
      </c>
      <c r="AQ355" s="492">
        <f t="shared" si="616"/>
        <v>14838</v>
      </c>
      <c r="AR355" s="573">
        <f t="shared" si="616"/>
        <v>0</v>
      </c>
      <c r="AS355" s="609">
        <f>O355+AL355</f>
        <v>2.8571</v>
      </c>
    </row>
    <row r="356" spans="1:45" ht="14.1" customHeight="1" x14ac:dyDescent="0.2">
      <c r="A356" s="509">
        <v>85</v>
      </c>
      <c r="B356" s="507">
        <v>2498</v>
      </c>
      <c r="C356" s="508">
        <v>650021576</v>
      </c>
      <c r="D356" s="507">
        <v>70695539</v>
      </c>
      <c r="E356" s="505" t="s">
        <v>679</v>
      </c>
      <c r="F356" s="509"/>
      <c r="G356" s="505"/>
      <c r="H356" s="504"/>
      <c r="I356" s="612">
        <v>27263631</v>
      </c>
      <c r="J356" s="503">
        <v>20225246</v>
      </c>
      <c r="K356" s="503">
        <v>0</v>
      </c>
      <c r="L356" s="503">
        <v>6836133</v>
      </c>
      <c r="M356" s="503">
        <v>202252</v>
      </c>
      <c r="N356" s="503">
        <v>0</v>
      </c>
      <c r="O356" s="837">
        <v>31.868599999999997</v>
      </c>
      <c r="P356" s="612">
        <f t="shared" ref="P356:AS356" si="621">SUM(P351:P355)</f>
        <v>0</v>
      </c>
      <c r="Q356" s="502">
        <f t="shared" si="621"/>
        <v>187428</v>
      </c>
      <c r="R356" s="502">
        <f t="shared" si="621"/>
        <v>0</v>
      </c>
      <c r="S356" s="502">
        <f t="shared" si="621"/>
        <v>0</v>
      </c>
      <c r="T356" s="502">
        <f t="shared" si="621"/>
        <v>0</v>
      </c>
      <c r="U356" s="502">
        <f t="shared" si="621"/>
        <v>0</v>
      </c>
      <c r="V356" s="502">
        <f t="shared" si="621"/>
        <v>187428</v>
      </c>
      <c r="W356" s="502">
        <f t="shared" si="621"/>
        <v>0</v>
      </c>
      <c r="X356" s="502">
        <f t="shared" si="621"/>
        <v>0</v>
      </c>
      <c r="Y356" s="502">
        <f t="shared" si="621"/>
        <v>0</v>
      </c>
      <c r="Z356" s="502">
        <f t="shared" si="621"/>
        <v>0</v>
      </c>
      <c r="AA356" s="502">
        <f t="shared" si="621"/>
        <v>187428</v>
      </c>
      <c r="AB356" s="502">
        <f t="shared" si="621"/>
        <v>63351</v>
      </c>
      <c r="AC356" s="502">
        <f t="shared" si="621"/>
        <v>1874</v>
      </c>
      <c r="AD356" s="502">
        <f t="shared" si="621"/>
        <v>0</v>
      </c>
      <c r="AE356" s="852">
        <f t="shared" si="621"/>
        <v>252653</v>
      </c>
      <c r="AF356" s="857">
        <f t="shared" si="621"/>
        <v>0</v>
      </c>
      <c r="AG356" s="848">
        <f t="shared" si="621"/>
        <v>0.46</v>
      </c>
      <c r="AH356" s="848">
        <f t="shared" si="621"/>
        <v>0</v>
      </c>
      <c r="AI356" s="848">
        <f t="shared" si="621"/>
        <v>0</v>
      </c>
      <c r="AJ356" s="848">
        <f t="shared" si="621"/>
        <v>0</v>
      </c>
      <c r="AK356" s="848">
        <f t="shared" si="621"/>
        <v>0</v>
      </c>
      <c r="AL356" s="613">
        <f t="shared" si="621"/>
        <v>0.46</v>
      </c>
      <c r="AM356" s="612">
        <f t="shared" si="621"/>
        <v>27516284</v>
      </c>
      <c r="AN356" s="502">
        <f t="shared" si="621"/>
        <v>20412674</v>
      </c>
      <c r="AO356" s="549">
        <f t="shared" si="621"/>
        <v>0</v>
      </c>
      <c r="AP356" s="502">
        <f t="shared" si="621"/>
        <v>6899484</v>
      </c>
      <c r="AQ356" s="502">
        <f t="shared" si="621"/>
        <v>204126</v>
      </c>
      <c r="AR356" s="502">
        <f t="shared" si="621"/>
        <v>0</v>
      </c>
      <c r="AS356" s="613">
        <f t="shared" si="621"/>
        <v>32.328600000000002</v>
      </c>
    </row>
    <row r="357" spans="1:45" ht="14.1" customHeight="1" x14ac:dyDescent="0.2">
      <c r="A357" s="499">
        <v>86</v>
      </c>
      <c r="B357" s="511">
        <v>2499</v>
      </c>
      <c r="C357" s="512">
        <v>650025288</v>
      </c>
      <c r="D357" s="511">
        <v>70983283</v>
      </c>
      <c r="E357" s="510" t="s">
        <v>680</v>
      </c>
      <c r="F357" s="499">
        <v>3111</v>
      </c>
      <c r="G357" s="510" t="s">
        <v>277</v>
      </c>
      <c r="H357" s="495" t="s">
        <v>262</v>
      </c>
      <c r="I357" s="610">
        <v>3119857</v>
      </c>
      <c r="J357" s="14">
        <v>2314434</v>
      </c>
      <c r="K357" s="14">
        <v>0</v>
      </c>
      <c r="L357" s="14">
        <v>782279</v>
      </c>
      <c r="M357" s="14">
        <v>23144</v>
      </c>
      <c r="N357" s="14">
        <v>0</v>
      </c>
      <c r="O357" s="121">
        <v>4</v>
      </c>
      <c r="P357" s="676">
        <f t="shared" si="587"/>
        <v>0</v>
      </c>
      <c r="Q357" s="492">
        <v>0</v>
      </c>
      <c r="R357" s="492">
        <v>0</v>
      </c>
      <c r="S357" s="492">
        <v>0</v>
      </c>
      <c r="T357" s="492">
        <v>0</v>
      </c>
      <c r="U357" s="492">
        <v>0</v>
      </c>
      <c r="V357" s="492">
        <f>P357+Q357+R357+S357+T357+U357</f>
        <v>0</v>
      </c>
      <c r="W357" s="492">
        <v>0</v>
      </c>
      <c r="X357" s="492">
        <v>0</v>
      </c>
      <c r="Y357" s="492">
        <v>0</v>
      </c>
      <c r="Z357" s="492">
        <f t="shared" ref="Z357:Z360" si="622">W357+X357+Y357</f>
        <v>0</v>
      </c>
      <c r="AA357" s="492">
        <f t="shared" ref="AA357:AA360" si="623">V357+Z357</f>
        <v>0</v>
      </c>
      <c r="AB357" s="494">
        <f t="shared" ref="AB357:AB360" si="624">ROUND((V357+Z357)*33.8%,0)</f>
        <v>0</v>
      </c>
      <c r="AC357" s="494">
        <f t="shared" ref="AC357:AC360" si="625">ROUND(V357*1%,0)</f>
        <v>0</v>
      </c>
      <c r="AD357" s="14">
        <v>0</v>
      </c>
      <c r="AE357" s="753">
        <f t="shared" si="588"/>
        <v>0</v>
      </c>
      <c r="AF357" s="858">
        <v>0</v>
      </c>
      <c r="AG357" s="491">
        <v>0</v>
      </c>
      <c r="AH357" s="491">
        <v>0</v>
      </c>
      <c r="AI357" s="491">
        <v>0</v>
      </c>
      <c r="AJ357" s="491">
        <v>0</v>
      </c>
      <c r="AK357" s="491">
        <v>0</v>
      </c>
      <c r="AL357" s="609">
        <f>SUM(AF357:AK357)</f>
        <v>0</v>
      </c>
      <c r="AM357" s="676">
        <f>I357+AE357</f>
        <v>3119857</v>
      </c>
      <c r="AN357" s="492">
        <f>J357+V357</f>
        <v>2314434</v>
      </c>
      <c r="AO357" s="492">
        <f t="shared" ref="AO357:AO360" si="626">K357+Z357</f>
        <v>0</v>
      </c>
      <c r="AP357" s="492">
        <f t="shared" ref="AP357:AR360" si="627">L357+AB357</f>
        <v>782279</v>
      </c>
      <c r="AQ357" s="492">
        <f t="shared" si="627"/>
        <v>23144</v>
      </c>
      <c r="AR357" s="573">
        <f t="shared" si="627"/>
        <v>0</v>
      </c>
      <c r="AS357" s="609">
        <f>O357+AL357</f>
        <v>4</v>
      </c>
    </row>
    <row r="358" spans="1:45" ht="14.1" customHeight="1" x14ac:dyDescent="0.2">
      <c r="A358" s="499">
        <v>86</v>
      </c>
      <c r="B358" s="511">
        <v>2499</v>
      </c>
      <c r="C358" s="512">
        <v>650025288</v>
      </c>
      <c r="D358" s="511">
        <v>70983283</v>
      </c>
      <c r="E358" s="510" t="s">
        <v>680</v>
      </c>
      <c r="F358" s="499">
        <v>3117</v>
      </c>
      <c r="G358" s="510" t="s">
        <v>280</v>
      </c>
      <c r="H358" s="495" t="s">
        <v>262</v>
      </c>
      <c r="I358" s="610">
        <v>3922457</v>
      </c>
      <c r="J358" s="14">
        <v>2909835</v>
      </c>
      <c r="K358" s="14">
        <v>0</v>
      </c>
      <c r="L358" s="14">
        <v>983524</v>
      </c>
      <c r="M358" s="14">
        <v>29098</v>
      </c>
      <c r="N358" s="14">
        <v>0</v>
      </c>
      <c r="O358" s="121">
        <v>4.1363000000000003</v>
      </c>
      <c r="P358" s="676">
        <f t="shared" si="587"/>
        <v>0</v>
      </c>
      <c r="Q358" s="492">
        <v>0</v>
      </c>
      <c r="R358" s="492">
        <v>0</v>
      </c>
      <c r="S358" s="492">
        <v>0</v>
      </c>
      <c r="T358" s="492">
        <v>0</v>
      </c>
      <c r="U358" s="492">
        <v>0</v>
      </c>
      <c r="V358" s="492">
        <f>P358+Q358+R358+S358+T358+U358</f>
        <v>0</v>
      </c>
      <c r="W358" s="492">
        <v>0</v>
      </c>
      <c r="X358" s="492">
        <v>0</v>
      </c>
      <c r="Y358" s="492">
        <v>0</v>
      </c>
      <c r="Z358" s="492">
        <f t="shared" si="622"/>
        <v>0</v>
      </c>
      <c r="AA358" s="492">
        <f t="shared" si="623"/>
        <v>0</v>
      </c>
      <c r="AB358" s="494">
        <f t="shared" si="624"/>
        <v>0</v>
      </c>
      <c r="AC358" s="494">
        <f t="shared" si="625"/>
        <v>0</v>
      </c>
      <c r="AD358" s="14">
        <v>0</v>
      </c>
      <c r="AE358" s="753">
        <f t="shared" si="588"/>
        <v>0</v>
      </c>
      <c r="AF358" s="858">
        <v>0</v>
      </c>
      <c r="AG358" s="491">
        <v>0</v>
      </c>
      <c r="AH358" s="491">
        <v>0</v>
      </c>
      <c r="AI358" s="491">
        <v>0</v>
      </c>
      <c r="AJ358" s="491">
        <v>0</v>
      </c>
      <c r="AK358" s="491">
        <v>0</v>
      </c>
      <c r="AL358" s="609">
        <f>SUM(AF358:AK358)</f>
        <v>0</v>
      </c>
      <c r="AM358" s="676">
        <f>I358+AE358</f>
        <v>3922457</v>
      </c>
      <c r="AN358" s="492">
        <f>J358+V358</f>
        <v>2909835</v>
      </c>
      <c r="AO358" s="492">
        <f t="shared" si="626"/>
        <v>0</v>
      </c>
      <c r="AP358" s="492">
        <f t="shared" si="627"/>
        <v>983524</v>
      </c>
      <c r="AQ358" s="492">
        <f t="shared" si="627"/>
        <v>29098</v>
      </c>
      <c r="AR358" s="573">
        <f t="shared" si="627"/>
        <v>0</v>
      </c>
      <c r="AS358" s="609">
        <f>O358+AL358</f>
        <v>4.1363000000000003</v>
      </c>
    </row>
    <row r="359" spans="1:45" ht="14.1" customHeight="1" x14ac:dyDescent="0.2">
      <c r="A359" s="499">
        <v>86</v>
      </c>
      <c r="B359" s="511">
        <v>2499</v>
      </c>
      <c r="C359" s="512">
        <v>650025288</v>
      </c>
      <c r="D359" s="511">
        <v>70983283</v>
      </c>
      <c r="E359" s="510" t="s">
        <v>680</v>
      </c>
      <c r="F359" s="499">
        <v>3117</v>
      </c>
      <c r="G359" s="510" t="s">
        <v>278</v>
      </c>
      <c r="H359" s="495" t="s">
        <v>263</v>
      </c>
      <c r="I359" s="610">
        <v>0</v>
      </c>
      <c r="J359" s="490">
        <v>0</v>
      </c>
      <c r="K359" s="490">
        <v>0</v>
      </c>
      <c r="L359" s="14">
        <v>0</v>
      </c>
      <c r="M359" s="14">
        <v>0</v>
      </c>
      <c r="N359" s="14">
        <v>0</v>
      </c>
      <c r="O359" s="664">
        <v>0</v>
      </c>
      <c r="P359" s="676">
        <f t="shared" si="587"/>
        <v>0</v>
      </c>
      <c r="Q359" s="492">
        <v>0</v>
      </c>
      <c r="R359" s="492">
        <v>0</v>
      </c>
      <c r="S359" s="492">
        <v>0</v>
      </c>
      <c r="T359" s="492">
        <v>0</v>
      </c>
      <c r="U359" s="492">
        <v>0</v>
      </c>
      <c r="V359" s="492">
        <f>P359+Q359+R359+S359+T359+U359</f>
        <v>0</v>
      </c>
      <c r="W359" s="492">
        <v>0</v>
      </c>
      <c r="X359" s="492">
        <v>0</v>
      </c>
      <c r="Y359" s="492">
        <v>0</v>
      </c>
      <c r="Z359" s="492">
        <f t="shared" si="622"/>
        <v>0</v>
      </c>
      <c r="AA359" s="492">
        <f t="shared" si="623"/>
        <v>0</v>
      </c>
      <c r="AB359" s="494">
        <f t="shared" si="624"/>
        <v>0</v>
      </c>
      <c r="AC359" s="494">
        <f t="shared" si="625"/>
        <v>0</v>
      </c>
      <c r="AD359" s="14">
        <v>0</v>
      </c>
      <c r="AE359" s="753">
        <f t="shared" si="588"/>
        <v>0</v>
      </c>
      <c r="AF359" s="858">
        <v>0</v>
      </c>
      <c r="AG359" s="491">
        <v>0</v>
      </c>
      <c r="AH359" s="491">
        <v>0</v>
      </c>
      <c r="AI359" s="491">
        <v>0</v>
      </c>
      <c r="AJ359" s="491">
        <v>0</v>
      </c>
      <c r="AK359" s="491">
        <v>0</v>
      </c>
      <c r="AL359" s="609">
        <f>SUM(AF359:AK359)</f>
        <v>0</v>
      </c>
      <c r="AM359" s="676">
        <f>I359+AE359</f>
        <v>0</v>
      </c>
      <c r="AN359" s="492">
        <f>J359+V359</f>
        <v>0</v>
      </c>
      <c r="AO359" s="492">
        <f t="shared" si="626"/>
        <v>0</v>
      </c>
      <c r="AP359" s="492">
        <f t="shared" si="627"/>
        <v>0</v>
      </c>
      <c r="AQ359" s="492">
        <f t="shared" si="627"/>
        <v>0</v>
      </c>
      <c r="AR359" s="573">
        <f t="shared" si="627"/>
        <v>0</v>
      </c>
      <c r="AS359" s="609">
        <f>O359+AL359</f>
        <v>0</v>
      </c>
    </row>
    <row r="360" spans="1:45" ht="14.1" customHeight="1" x14ac:dyDescent="0.2">
      <c r="A360" s="499">
        <v>86</v>
      </c>
      <c r="B360" s="511">
        <v>2499</v>
      </c>
      <c r="C360" s="512">
        <v>650025288</v>
      </c>
      <c r="D360" s="511">
        <v>70983283</v>
      </c>
      <c r="E360" s="510" t="s">
        <v>680</v>
      </c>
      <c r="F360" s="499">
        <v>3143</v>
      </c>
      <c r="G360" s="513" t="s">
        <v>794</v>
      </c>
      <c r="H360" s="495" t="s">
        <v>262</v>
      </c>
      <c r="I360" s="610">
        <v>1123235</v>
      </c>
      <c r="J360" s="14">
        <v>833260</v>
      </c>
      <c r="K360" s="14">
        <v>0</v>
      </c>
      <c r="L360" s="14">
        <v>281642</v>
      </c>
      <c r="M360" s="14">
        <v>8333</v>
      </c>
      <c r="N360" s="14">
        <v>0</v>
      </c>
      <c r="O360" s="121">
        <v>1.6071</v>
      </c>
      <c r="P360" s="676">
        <f t="shared" si="587"/>
        <v>0</v>
      </c>
      <c r="Q360" s="492">
        <v>0</v>
      </c>
      <c r="R360" s="492">
        <v>0</v>
      </c>
      <c r="S360" s="492">
        <v>0</v>
      </c>
      <c r="T360" s="492">
        <v>0</v>
      </c>
      <c r="U360" s="492">
        <v>0</v>
      </c>
      <c r="V360" s="492">
        <f>P360+Q360+R360+S360+T360+U360</f>
        <v>0</v>
      </c>
      <c r="W360" s="492">
        <v>0</v>
      </c>
      <c r="X360" s="492">
        <v>0</v>
      </c>
      <c r="Y360" s="492">
        <v>0</v>
      </c>
      <c r="Z360" s="492">
        <f t="shared" si="622"/>
        <v>0</v>
      </c>
      <c r="AA360" s="492">
        <f t="shared" si="623"/>
        <v>0</v>
      </c>
      <c r="AB360" s="494">
        <f t="shared" si="624"/>
        <v>0</v>
      </c>
      <c r="AC360" s="494">
        <f t="shared" si="625"/>
        <v>0</v>
      </c>
      <c r="AD360" s="14">
        <v>0</v>
      </c>
      <c r="AE360" s="753">
        <f t="shared" si="588"/>
        <v>0</v>
      </c>
      <c r="AF360" s="858">
        <v>0</v>
      </c>
      <c r="AG360" s="491">
        <v>0</v>
      </c>
      <c r="AH360" s="491">
        <v>0</v>
      </c>
      <c r="AI360" s="491">
        <v>0</v>
      </c>
      <c r="AJ360" s="491">
        <v>0</v>
      </c>
      <c r="AK360" s="491">
        <v>0</v>
      </c>
      <c r="AL360" s="609">
        <f>SUM(AF360:AK360)</f>
        <v>0</v>
      </c>
      <c r="AM360" s="676">
        <f>I360+AE360</f>
        <v>1123235</v>
      </c>
      <c r="AN360" s="492">
        <f>J360+V360</f>
        <v>833260</v>
      </c>
      <c r="AO360" s="492">
        <f t="shared" si="626"/>
        <v>0</v>
      </c>
      <c r="AP360" s="492">
        <f t="shared" si="627"/>
        <v>281642</v>
      </c>
      <c r="AQ360" s="492">
        <f t="shared" si="627"/>
        <v>8333</v>
      </c>
      <c r="AR360" s="573">
        <f t="shared" si="627"/>
        <v>0</v>
      </c>
      <c r="AS360" s="609">
        <f>O360+AL360</f>
        <v>1.6071</v>
      </c>
    </row>
    <row r="361" spans="1:45" ht="14.1" customHeight="1" x14ac:dyDescent="0.2">
      <c r="A361" s="509">
        <v>86</v>
      </c>
      <c r="B361" s="507">
        <v>2499</v>
      </c>
      <c r="C361" s="508">
        <v>650025288</v>
      </c>
      <c r="D361" s="507">
        <v>70983283</v>
      </c>
      <c r="E361" s="505" t="s">
        <v>681</v>
      </c>
      <c r="F361" s="509"/>
      <c r="G361" s="505"/>
      <c r="H361" s="504"/>
      <c r="I361" s="612">
        <v>8165549</v>
      </c>
      <c r="J361" s="503">
        <v>6057529</v>
      </c>
      <c r="K361" s="503">
        <v>0</v>
      </c>
      <c r="L361" s="503">
        <v>2047445</v>
      </c>
      <c r="M361" s="503">
        <v>60575</v>
      </c>
      <c r="N361" s="503">
        <v>0</v>
      </c>
      <c r="O361" s="837">
        <v>9.7434000000000012</v>
      </c>
      <c r="P361" s="612">
        <f t="shared" ref="P361:AS361" si="628">SUM(P357:P360)</f>
        <v>0</v>
      </c>
      <c r="Q361" s="502">
        <f t="shared" si="628"/>
        <v>0</v>
      </c>
      <c r="R361" s="502">
        <f t="shared" si="628"/>
        <v>0</v>
      </c>
      <c r="S361" s="502">
        <f t="shared" si="628"/>
        <v>0</v>
      </c>
      <c r="T361" s="502">
        <f t="shared" si="628"/>
        <v>0</v>
      </c>
      <c r="U361" s="502">
        <f t="shared" si="628"/>
        <v>0</v>
      </c>
      <c r="V361" s="502">
        <f t="shared" si="628"/>
        <v>0</v>
      </c>
      <c r="W361" s="502">
        <f t="shared" si="628"/>
        <v>0</v>
      </c>
      <c r="X361" s="502">
        <f t="shared" si="628"/>
        <v>0</v>
      </c>
      <c r="Y361" s="502">
        <f t="shared" si="628"/>
        <v>0</v>
      </c>
      <c r="Z361" s="502">
        <f t="shared" si="628"/>
        <v>0</v>
      </c>
      <c r="AA361" s="502">
        <f t="shared" si="628"/>
        <v>0</v>
      </c>
      <c r="AB361" s="502">
        <f t="shared" si="628"/>
        <v>0</v>
      </c>
      <c r="AC361" s="502">
        <f t="shared" si="628"/>
        <v>0</v>
      </c>
      <c r="AD361" s="502">
        <f t="shared" si="628"/>
        <v>0</v>
      </c>
      <c r="AE361" s="852">
        <f t="shared" si="628"/>
        <v>0</v>
      </c>
      <c r="AF361" s="857">
        <f t="shared" si="628"/>
        <v>0</v>
      </c>
      <c r="AG361" s="848">
        <f t="shared" si="628"/>
        <v>0</v>
      </c>
      <c r="AH361" s="848">
        <f t="shared" si="628"/>
        <v>0</v>
      </c>
      <c r="AI361" s="848">
        <f t="shared" si="628"/>
        <v>0</v>
      </c>
      <c r="AJ361" s="848">
        <f t="shared" si="628"/>
        <v>0</v>
      </c>
      <c r="AK361" s="848">
        <f t="shared" si="628"/>
        <v>0</v>
      </c>
      <c r="AL361" s="613">
        <f t="shared" si="628"/>
        <v>0</v>
      </c>
      <c r="AM361" s="612">
        <f t="shared" si="628"/>
        <v>8165549</v>
      </c>
      <c r="AN361" s="502">
        <f t="shared" si="628"/>
        <v>6057529</v>
      </c>
      <c r="AO361" s="549">
        <f t="shared" si="628"/>
        <v>0</v>
      </c>
      <c r="AP361" s="502">
        <f t="shared" si="628"/>
        <v>2047445</v>
      </c>
      <c r="AQ361" s="502">
        <f t="shared" si="628"/>
        <v>60575</v>
      </c>
      <c r="AR361" s="502">
        <f t="shared" si="628"/>
        <v>0</v>
      </c>
      <c r="AS361" s="613">
        <f t="shared" si="628"/>
        <v>9.7434000000000012</v>
      </c>
    </row>
    <row r="362" spans="1:45" ht="14.1" customHeight="1" x14ac:dyDescent="0.2">
      <c r="A362" s="499">
        <v>87</v>
      </c>
      <c r="B362" s="511">
        <v>2331</v>
      </c>
      <c r="C362" s="512">
        <v>691014302</v>
      </c>
      <c r="D362" s="511" t="s">
        <v>737</v>
      </c>
      <c r="E362" s="510" t="s">
        <v>743</v>
      </c>
      <c r="F362" s="499">
        <v>3111</v>
      </c>
      <c r="G362" s="510" t="s">
        <v>277</v>
      </c>
      <c r="H362" s="495" t="s">
        <v>262</v>
      </c>
      <c r="I362" s="610">
        <v>1863678</v>
      </c>
      <c r="J362" s="14">
        <v>1382550</v>
      </c>
      <c r="K362" s="14">
        <v>0</v>
      </c>
      <c r="L362" s="14">
        <v>467302</v>
      </c>
      <c r="M362" s="14">
        <v>13826</v>
      </c>
      <c r="N362" s="14">
        <v>0</v>
      </c>
      <c r="O362" s="121">
        <v>2.2052999999999998</v>
      </c>
      <c r="P362" s="676">
        <f t="shared" si="587"/>
        <v>0</v>
      </c>
      <c r="Q362" s="492">
        <v>0</v>
      </c>
      <c r="R362" s="492">
        <v>0</v>
      </c>
      <c r="S362" s="492">
        <v>0</v>
      </c>
      <c r="T362" s="492">
        <v>0</v>
      </c>
      <c r="U362" s="492">
        <v>0</v>
      </c>
      <c r="V362" s="492">
        <f>P362+Q362+R362+S362+T362+U362</f>
        <v>0</v>
      </c>
      <c r="W362" s="492">
        <v>0</v>
      </c>
      <c r="X362" s="492">
        <v>0</v>
      </c>
      <c r="Y362" s="492">
        <v>0</v>
      </c>
      <c r="Z362" s="492">
        <f t="shared" ref="Z362" si="629">W362+X362+Y362</f>
        <v>0</v>
      </c>
      <c r="AA362" s="492">
        <f t="shared" ref="AA362" si="630">V362+Z362</f>
        <v>0</v>
      </c>
      <c r="AB362" s="494">
        <f t="shared" ref="AB362" si="631">ROUND((V362+Z362)*33.8%,0)</f>
        <v>0</v>
      </c>
      <c r="AC362" s="494">
        <f>ROUND(V362*1%,0)</f>
        <v>0</v>
      </c>
      <c r="AD362" s="14">
        <v>0</v>
      </c>
      <c r="AE362" s="753">
        <f t="shared" si="588"/>
        <v>0</v>
      </c>
      <c r="AF362" s="858">
        <v>0</v>
      </c>
      <c r="AG362" s="491">
        <v>0</v>
      </c>
      <c r="AH362" s="491">
        <v>0</v>
      </c>
      <c r="AI362" s="491">
        <v>0</v>
      </c>
      <c r="AJ362" s="491">
        <v>0</v>
      </c>
      <c r="AK362" s="491">
        <v>0</v>
      </c>
      <c r="AL362" s="609">
        <f>SUM(AF362:AK362)</f>
        <v>0</v>
      </c>
      <c r="AM362" s="676">
        <f>I362+AE362</f>
        <v>1863678</v>
      </c>
      <c r="AN362" s="492">
        <f>J362+V362</f>
        <v>1382550</v>
      </c>
      <c r="AO362" s="492">
        <f>K362+Z362</f>
        <v>0</v>
      </c>
      <c r="AP362" s="492">
        <f>L362+AB362</f>
        <v>467302</v>
      </c>
      <c r="AQ362" s="492">
        <f>M362+AC362</f>
        <v>13826</v>
      </c>
      <c r="AR362" s="573">
        <f>N362+AD362</f>
        <v>0</v>
      </c>
      <c r="AS362" s="609">
        <f>O362+AL362</f>
        <v>2.2052999999999998</v>
      </c>
    </row>
    <row r="363" spans="1:45" ht="14.1" customHeight="1" x14ac:dyDescent="0.2">
      <c r="A363" s="509">
        <v>87</v>
      </c>
      <c r="B363" s="507">
        <v>2331</v>
      </c>
      <c r="C363" s="508">
        <v>691014302</v>
      </c>
      <c r="D363" s="507" t="s">
        <v>737</v>
      </c>
      <c r="E363" s="505" t="s">
        <v>744</v>
      </c>
      <c r="F363" s="506"/>
      <c r="G363" s="505"/>
      <c r="H363" s="504"/>
      <c r="I363" s="612">
        <v>1863678</v>
      </c>
      <c r="J363" s="503">
        <v>1382550</v>
      </c>
      <c r="K363" s="503">
        <v>0</v>
      </c>
      <c r="L363" s="503">
        <v>467302</v>
      </c>
      <c r="M363" s="503">
        <v>13826</v>
      </c>
      <c r="N363" s="503">
        <v>0</v>
      </c>
      <c r="O363" s="837">
        <v>2.2052999999999998</v>
      </c>
      <c r="P363" s="612">
        <f t="shared" ref="P363:AS363" si="632">SUM(P362:P362)</f>
        <v>0</v>
      </c>
      <c r="Q363" s="502">
        <f t="shared" si="632"/>
        <v>0</v>
      </c>
      <c r="R363" s="502">
        <f t="shared" si="632"/>
        <v>0</v>
      </c>
      <c r="S363" s="502">
        <f t="shared" si="632"/>
        <v>0</v>
      </c>
      <c r="T363" s="502">
        <f t="shared" si="632"/>
        <v>0</v>
      </c>
      <c r="U363" s="502">
        <f t="shared" si="632"/>
        <v>0</v>
      </c>
      <c r="V363" s="502">
        <f t="shared" si="632"/>
        <v>0</v>
      </c>
      <c r="W363" s="502">
        <f t="shared" si="632"/>
        <v>0</v>
      </c>
      <c r="X363" s="502">
        <f t="shared" si="632"/>
        <v>0</v>
      </c>
      <c r="Y363" s="502">
        <f t="shared" si="632"/>
        <v>0</v>
      </c>
      <c r="Z363" s="502">
        <f t="shared" si="632"/>
        <v>0</v>
      </c>
      <c r="AA363" s="502">
        <f t="shared" si="632"/>
        <v>0</v>
      </c>
      <c r="AB363" s="502">
        <f t="shared" si="632"/>
        <v>0</v>
      </c>
      <c r="AC363" s="502">
        <f t="shared" si="632"/>
        <v>0</v>
      </c>
      <c r="AD363" s="502">
        <f t="shared" si="632"/>
        <v>0</v>
      </c>
      <c r="AE363" s="852">
        <f t="shared" si="632"/>
        <v>0</v>
      </c>
      <c r="AF363" s="857">
        <f t="shared" si="632"/>
        <v>0</v>
      </c>
      <c r="AG363" s="848">
        <f t="shared" si="632"/>
        <v>0</v>
      </c>
      <c r="AH363" s="848">
        <f t="shared" si="632"/>
        <v>0</v>
      </c>
      <c r="AI363" s="848">
        <f t="shared" si="632"/>
        <v>0</v>
      </c>
      <c r="AJ363" s="848">
        <f t="shared" si="632"/>
        <v>0</v>
      </c>
      <c r="AK363" s="848">
        <f t="shared" si="632"/>
        <v>0</v>
      </c>
      <c r="AL363" s="613">
        <f t="shared" si="632"/>
        <v>0</v>
      </c>
      <c r="AM363" s="612">
        <f t="shared" si="632"/>
        <v>1863678</v>
      </c>
      <c r="AN363" s="502">
        <f t="shared" si="632"/>
        <v>1382550</v>
      </c>
      <c r="AO363" s="549">
        <f t="shared" si="632"/>
        <v>0</v>
      </c>
      <c r="AP363" s="502">
        <f t="shared" si="632"/>
        <v>467302</v>
      </c>
      <c r="AQ363" s="502">
        <f t="shared" si="632"/>
        <v>13826</v>
      </c>
      <c r="AR363" s="502">
        <f t="shared" si="632"/>
        <v>0</v>
      </c>
      <c r="AS363" s="613">
        <f t="shared" si="632"/>
        <v>2.2052999999999998</v>
      </c>
    </row>
    <row r="364" spans="1:45" ht="14.1" customHeight="1" x14ac:dyDescent="0.2">
      <c r="A364" s="499">
        <v>88</v>
      </c>
      <c r="B364" s="498">
        <v>2332</v>
      </c>
      <c r="C364" s="498">
        <v>691015295</v>
      </c>
      <c r="D364" s="497">
        <v>10988122</v>
      </c>
      <c r="E364" s="496" t="s">
        <v>754</v>
      </c>
      <c r="F364" s="501">
        <v>3111</v>
      </c>
      <c r="G364" s="500" t="s">
        <v>277</v>
      </c>
      <c r="H364" s="495" t="s">
        <v>262</v>
      </c>
      <c r="I364" s="610">
        <v>5112977</v>
      </c>
      <c r="J364" s="14">
        <v>3793010</v>
      </c>
      <c r="K364" s="14">
        <v>0</v>
      </c>
      <c r="L364" s="14">
        <v>1282037</v>
      </c>
      <c r="M364" s="14">
        <v>37930</v>
      </c>
      <c r="N364" s="14">
        <v>0</v>
      </c>
      <c r="O364" s="121">
        <v>6.6773999999999996</v>
      </c>
      <c r="P364" s="676">
        <v>-25000</v>
      </c>
      <c r="Q364" s="492">
        <v>0</v>
      </c>
      <c r="R364" s="492">
        <v>0</v>
      </c>
      <c r="S364" s="492">
        <v>0</v>
      </c>
      <c r="T364" s="492">
        <v>0</v>
      </c>
      <c r="U364" s="492">
        <v>0</v>
      </c>
      <c r="V364" s="492">
        <f>P364+Q364+R364+S364+T364+U364</f>
        <v>-25000</v>
      </c>
      <c r="W364" s="492">
        <v>25000</v>
      </c>
      <c r="X364" s="492">
        <v>0</v>
      </c>
      <c r="Y364" s="492">
        <v>0</v>
      </c>
      <c r="Z364" s="492">
        <f t="shared" ref="Z364:Z365" si="633">W364+X364+Y364</f>
        <v>25000</v>
      </c>
      <c r="AA364" s="492">
        <f t="shared" ref="AA364:AA365" si="634">V364+Z364</f>
        <v>0</v>
      </c>
      <c r="AB364" s="494">
        <f t="shared" ref="AB364:AB365" si="635">ROUND((V364+Z364)*33.8%,0)</f>
        <v>0</v>
      </c>
      <c r="AC364" s="494">
        <f>ROUND(V364*1%,0)</f>
        <v>-250</v>
      </c>
      <c r="AD364" s="14">
        <v>0</v>
      </c>
      <c r="AE364" s="753">
        <f t="shared" si="588"/>
        <v>-250</v>
      </c>
      <c r="AF364" s="858">
        <v>-0.02</v>
      </c>
      <c r="AG364" s="491">
        <v>0</v>
      </c>
      <c r="AH364" s="491">
        <v>0</v>
      </c>
      <c r="AI364" s="491">
        <v>0</v>
      </c>
      <c r="AJ364" s="491">
        <v>0</v>
      </c>
      <c r="AK364" s="491">
        <v>0</v>
      </c>
      <c r="AL364" s="609">
        <f>SUM(AF364:AK364)</f>
        <v>-0.02</v>
      </c>
      <c r="AM364" s="676">
        <f>I364+AE364</f>
        <v>5112727</v>
      </c>
      <c r="AN364" s="492">
        <f>J364+V364</f>
        <v>3768010</v>
      </c>
      <c r="AO364" s="492">
        <f t="shared" ref="AO364:AO365" si="636">K364+Z364</f>
        <v>25000</v>
      </c>
      <c r="AP364" s="492">
        <f t="shared" ref="AP364:AR365" si="637">L364+AB364</f>
        <v>1282037</v>
      </c>
      <c r="AQ364" s="492">
        <f t="shared" si="637"/>
        <v>37680</v>
      </c>
      <c r="AR364" s="573">
        <f t="shared" si="637"/>
        <v>0</v>
      </c>
      <c r="AS364" s="609">
        <f>O364+AL364</f>
        <v>6.6574</v>
      </c>
    </row>
    <row r="365" spans="1:45" ht="14.1" customHeight="1" x14ac:dyDescent="0.2">
      <c r="A365" s="499">
        <v>88</v>
      </c>
      <c r="B365" s="498">
        <v>2332</v>
      </c>
      <c r="C365" s="498">
        <v>691015295</v>
      </c>
      <c r="D365" s="497">
        <v>10988122</v>
      </c>
      <c r="E365" s="496" t="s">
        <v>754</v>
      </c>
      <c r="F365" s="501">
        <v>3111</v>
      </c>
      <c r="G365" s="500" t="s">
        <v>278</v>
      </c>
      <c r="H365" s="495" t="s">
        <v>263</v>
      </c>
      <c r="I365" s="610">
        <v>534949</v>
      </c>
      <c r="J365" s="490">
        <v>396847</v>
      </c>
      <c r="K365" s="490">
        <v>0</v>
      </c>
      <c r="L365" s="14">
        <v>134134</v>
      </c>
      <c r="M365" s="14">
        <v>3968</v>
      </c>
      <c r="N365" s="14">
        <v>0</v>
      </c>
      <c r="O365" s="664">
        <v>1</v>
      </c>
      <c r="P365" s="676">
        <f t="shared" si="587"/>
        <v>0</v>
      </c>
      <c r="Q365" s="492">
        <v>0</v>
      </c>
      <c r="R365" s="492">
        <v>0</v>
      </c>
      <c r="S365" s="492">
        <v>0</v>
      </c>
      <c r="T365" s="492">
        <v>0</v>
      </c>
      <c r="U365" s="492">
        <v>0</v>
      </c>
      <c r="V365" s="492">
        <f>P365+Q365+R365+S365+T365+U365</f>
        <v>0</v>
      </c>
      <c r="W365" s="492">
        <v>0</v>
      </c>
      <c r="X365" s="492">
        <v>0</v>
      </c>
      <c r="Y365" s="492">
        <v>0</v>
      </c>
      <c r="Z365" s="492">
        <f t="shared" si="633"/>
        <v>0</v>
      </c>
      <c r="AA365" s="492">
        <f t="shared" si="634"/>
        <v>0</v>
      </c>
      <c r="AB365" s="494">
        <f t="shared" si="635"/>
        <v>0</v>
      </c>
      <c r="AC365" s="494">
        <f>ROUND(V365*1%,0)</f>
        <v>0</v>
      </c>
      <c r="AD365" s="14">
        <v>0</v>
      </c>
      <c r="AE365" s="753">
        <f t="shared" si="588"/>
        <v>0</v>
      </c>
      <c r="AF365" s="858">
        <v>0</v>
      </c>
      <c r="AG365" s="491">
        <v>0</v>
      </c>
      <c r="AH365" s="491">
        <v>0</v>
      </c>
      <c r="AI365" s="491">
        <v>0</v>
      </c>
      <c r="AJ365" s="491">
        <v>0</v>
      </c>
      <c r="AK365" s="491">
        <v>0</v>
      </c>
      <c r="AL365" s="609">
        <f>SUM(AF365:AK365)</f>
        <v>0</v>
      </c>
      <c r="AM365" s="676">
        <f>I365+AE365</f>
        <v>534949</v>
      </c>
      <c r="AN365" s="492">
        <f>J365+V365</f>
        <v>396847</v>
      </c>
      <c r="AO365" s="492">
        <f t="shared" si="636"/>
        <v>0</v>
      </c>
      <c r="AP365" s="492">
        <f t="shared" si="637"/>
        <v>134134</v>
      </c>
      <c r="AQ365" s="492">
        <f t="shared" si="637"/>
        <v>3968</v>
      </c>
      <c r="AR365" s="573">
        <f t="shared" si="637"/>
        <v>0</v>
      </c>
      <c r="AS365" s="609">
        <f>O365+AL365</f>
        <v>1</v>
      </c>
    </row>
    <row r="366" spans="1:45" ht="14.1" customHeight="1" thickBot="1" x14ac:dyDescent="0.25">
      <c r="A366" s="509">
        <v>88</v>
      </c>
      <c r="B366" s="489">
        <v>2332</v>
      </c>
      <c r="C366" s="489">
        <v>691015295</v>
      </c>
      <c r="D366" s="488">
        <v>10988122</v>
      </c>
      <c r="E366" s="487" t="s">
        <v>755</v>
      </c>
      <c r="F366" s="133"/>
      <c r="G366" s="134"/>
      <c r="H366" s="134"/>
      <c r="I366" s="678">
        <v>5647926</v>
      </c>
      <c r="J366" s="486">
        <v>4189857</v>
      </c>
      <c r="K366" s="486">
        <v>0</v>
      </c>
      <c r="L366" s="486">
        <v>1416171</v>
      </c>
      <c r="M366" s="486">
        <v>41898</v>
      </c>
      <c r="N366" s="486">
        <v>0</v>
      </c>
      <c r="O366" s="840">
        <v>7.6773999999999996</v>
      </c>
      <c r="P366" s="842">
        <f t="shared" ref="P366:AS366" si="638">SUM(P364:P365)</f>
        <v>-25000</v>
      </c>
      <c r="Q366" s="549">
        <f t="shared" si="638"/>
        <v>0</v>
      </c>
      <c r="R366" s="549">
        <f t="shared" si="638"/>
        <v>0</v>
      </c>
      <c r="S366" s="549">
        <f t="shared" si="638"/>
        <v>0</v>
      </c>
      <c r="T366" s="549">
        <f t="shared" si="638"/>
        <v>0</v>
      </c>
      <c r="U366" s="549">
        <f t="shared" si="638"/>
        <v>0</v>
      </c>
      <c r="V366" s="549">
        <f t="shared" si="638"/>
        <v>-25000</v>
      </c>
      <c r="W366" s="549">
        <f t="shared" si="638"/>
        <v>25000</v>
      </c>
      <c r="X366" s="549">
        <f t="shared" si="638"/>
        <v>0</v>
      </c>
      <c r="Y366" s="549">
        <f t="shared" si="638"/>
        <v>0</v>
      </c>
      <c r="Z366" s="549">
        <f t="shared" si="638"/>
        <v>25000</v>
      </c>
      <c r="AA366" s="549">
        <f t="shared" si="638"/>
        <v>0</v>
      </c>
      <c r="AB366" s="549">
        <f t="shared" si="638"/>
        <v>0</v>
      </c>
      <c r="AC366" s="549">
        <f t="shared" si="638"/>
        <v>-250</v>
      </c>
      <c r="AD366" s="549">
        <f t="shared" si="638"/>
        <v>0</v>
      </c>
      <c r="AE366" s="855">
        <f t="shared" si="638"/>
        <v>-250</v>
      </c>
      <c r="AF366" s="861">
        <f t="shared" si="638"/>
        <v>-0.02</v>
      </c>
      <c r="AG366" s="484">
        <f t="shared" si="638"/>
        <v>0</v>
      </c>
      <c r="AH366" s="484">
        <f t="shared" si="638"/>
        <v>0</v>
      </c>
      <c r="AI366" s="484">
        <f t="shared" si="638"/>
        <v>0</v>
      </c>
      <c r="AJ366" s="484">
        <f t="shared" si="638"/>
        <v>0</v>
      </c>
      <c r="AK366" s="484">
        <f t="shared" si="638"/>
        <v>0</v>
      </c>
      <c r="AL366" s="483">
        <f t="shared" si="638"/>
        <v>-0.02</v>
      </c>
      <c r="AM366" s="678">
        <f t="shared" si="638"/>
        <v>5647676</v>
      </c>
      <c r="AN366" s="485">
        <f t="shared" si="638"/>
        <v>4164857</v>
      </c>
      <c r="AO366" s="485">
        <f t="shared" si="638"/>
        <v>25000</v>
      </c>
      <c r="AP366" s="485">
        <f t="shared" si="638"/>
        <v>1416171</v>
      </c>
      <c r="AQ366" s="485">
        <f t="shared" si="638"/>
        <v>41648</v>
      </c>
      <c r="AR366" s="485">
        <f t="shared" si="638"/>
        <v>0</v>
      </c>
      <c r="AS366" s="483">
        <f t="shared" si="638"/>
        <v>7.6574</v>
      </c>
    </row>
    <row r="367" spans="1:45" ht="14.1" customHeight="1" thickBot="1" x14ac:dyDescent="0.25">
      <c r="A367" s="482"/>
      <c r="B367" s="480"/>
      <c r="C367" s="480"/>
      <c r="D367" s="480"/>
      <c r="E367" s="481" t="s">
        <v>682</v>
      </c>
      <c r="F367" s="480"/>
      <c r="G367" s="480"/>
      <c r="H367" s="480"/>
      <c r="I367" s="679">
        <f t="shared" ref="I367:AS367" si="639">I366+I363+I361+I356+I350+I345+I340+I335+I329+I324+I319+I313+I310+I305+I300+I297+I292+I287+I281+I277+I270+I267+I264+I261+I259+I255+I252+I247+I242+I240+I233+I229+I224+I221+I216+I213+I210+I208+I203+I198+I193+I188+I183+I178+I173+I167+I163+I158+I152+I146+I141+I135+I130+I125+I120+I115+I110+I104+I98+I94+I91+I89+I86+I83+I81+I78+I75+I72+I69+I66+I63+I60+I56+I54+I51+I48+I45+I43+I41+I39+I36+I33+I30+I27+I24+I20+I17+I13</f>
        <v>1780130710</v>
      </c>
      <c r="J367" s="478">
        <f t="shared" si="639"/>
        <v>1316324535</v>
      </c>
      <c r="K367" s="478">
        <f t="shared" si="639"/>
        <v>4278956</v>
      </c>
      <c r="L367" s="478">
        <f t="shared" si="639"/>
        <v>446363974</v>
      </c>
      <c r="M367" s="478">
        <f t="shared" si="639"/>
        <v>13163245</v>
      </c>
      <c r="N367" s="478">
        <f t="shared" si="639"/>
        <v>0</v>
      </c>
      <c r="O367" s="841">
        <f t="shared" si="639"/>
        <v>2075.168900000001</v>
      </c>
      <c r="P367" s="843">
        <f t="shared" si="639"/>
        <v>-75000</v>
      </c>
      <c r="Q367" s="844">
        <f t="shared" si="639"/>
        <v>2837526</v>
      </c>
      <c r="R367" s="844">
        <f t="shared" si="639"/>
        <v>0</v>
      </c>
      <c r="S367" s="844">
        <f t="shared" si="639"/>
        <v>206546</v>
      </c>
      <c r="T367" s="844">
        <f t="shared" si="639"/>
        <v>0</v>
      </c>
      <c r="U367" s="844">
        <f t="shared" si="639"/>
        <v>0</v>
      </c>
      <c r="V367" s="844">
        <f t="shared" si="639"/>
        <v>2969072</v>
      </c>
      <c r="W367" s="844">
        <f t="shared" si="639"/>
        <v>75000</v>
      </c>
      <c r="X367" s="844">
        <f t="shared" si="639"/>
        <v>0</v>
      </c>
      <c r="Y367" s="844">
        <f t="shared" si="639"/>
        <v>0</v>
      </c>
      <c r="Z367" s="844">
        <f t="shared" si="639"/>
        <v>75000</v>
      </c>
      <c r="AA367" s="844">
        <f t="shared" si="639"/>
        <v>3044072</v>
      </c>
      <c r="AB367" s="844">
        <f t="shared" si="639"/>
        <v>1028895</v>
      </c>
      <c r="AC367" s="844">
        <f t="shared" si="639"/>
        <v>29692</v>
      </c>
      <c r="AD367" s="844">
        <f t="shared" ref="AD367:AE367" si="640">AD366+AD363+AD361+AD356+AD350+AD345+AD340+AD335+AD329+AD324+AD319+AD313+AD310+AD305+AD300+AD297+AD292+AD287+AD281+AD277+AD270+AD267+AD264+AD261+AD259+AD255+AD252+AD247+AD242+AD240+AD233+AD229+AD224+AD221+AD216+AD213+AD210+AD208+AD203+AD198+AD193+AD188+AD183+AD178+AD173+AD167+AD163+AD158+AD152+AD146+AD141+AD135+AD130+AD125+AD120+AD115+AD110+AD104+AD98+AD94+AD91+AD89+AD86+AD83+AD81+AD78+AD75+AD72+AD69+AD66+AD63+AD60+AD56+AD54+AD51+AD48+AD45+AD43+AD41+AD39+AD36+AD33+AD30+AD27+AD24+AD20+AD17+AD13</f>
        <v>0</v>
      </c>
      <c r="AE367" s="856">
        <f t="shared" si="640"/>
        <v>4102659</v>
      </c>
      <c r="AF367" s="862">
        <f t="shared" si="639"/>
        <v>-0.02</v>
      </c>
      <c r="AG367" s="680">
        <f t="shared" si="639"/>
        <v>6.9</v>
      </c>
      <c r="AH367" s="477">
        <f t="shared" si="639"/>
        <v>0.37</v>
      </c>
      <c r="AI367" s="477">
        <f t="shared" si="639"/>
        <v>0</v>
      </c>
      <c r="AJ367" s="477">
        <f t="shared" si="639"/>
        <v>0</v>
      </c>
      <c r="AK367" s="477">
        <f t="shared" si="639"/>
        <v>0</v>
      </c>
      <c r="AL367" s="623">
        <f t="shared" si="639"/>
        <v>7.25</v>
      </c>
      <c r="AM367" s="679">
        <f t="shared" si="639"/>
        <v>1784233369</v>
      </c>
      <c r="AN367" s="479">
        <f t="shared" si="639"/>
        <v>1319293607</v>
      </c>
      <c r="AO367" s="479">
        <f t="shared" si="639"/>
        <v>4353956</v>
      </c>
      <c r="AP367" s="479">
        <f t="shared" si="639"/>
        <v>447392869</v>
      </c>
      <c r="AQ367" s="479">
        <f t="shared" si="639"/>
        <v>13192937</v>
      </c>
      <c r="AR367" s="479">
        <f t="shared" si="639"/>
        <v>0</v>
      </c>
      <c r="AS367" s="623">
        <f t="shared" si="639"/>
        <v>2082.4189000000006</v>
      </c>
    </row>
    <row r="368" spans="1:45" ht="14.1" customHeight="1" x14ac:dyDescent="0.2">
      <c r="I368" s="328">
        <f>SUM(J367:N367)</f>
        <v>1780130710</v>
      </c>
      <c r="J368" s="328"/>
      <c r="K368" s="328"/>
      <c r="L368" s="328"/>
      <c r="M368" s="328"/>
      <c r="N368" s="328"/>
      <c r="O368" s="329"/>
      <c r="P368" s="328">
        <f>W367</f>
        <v>75000</v>
      </c>
      <c r="Q368" s="329"/>
      <c r="R368" s="329"/>
      <c r="S368" s="329"/>
      <c r="T368" s="328"/>
      <c r="U368" s="329"/>
      <c r="V368" s="330">
        <f>SUM(P367:U367)</f>
        <v>2969072</v>
      </c>
      <c r="W368" s="330">
        <f>P367</f>
        <v>-75000</v>
      </c>
      <c r="X368" s="331"/>
      <c r="Y368" s="331"/>
      <c r="Z368" s="330">
        <f>SUM(W367:Y367)</f>
        <v>75000</v>
      </c>
      <c r="AA368" s="330">
        <f>V367+Z367</f>
        <v>3044072</v>
      </c>
      <c r="AB368" s="332"/>
      <c r="AC368" s="332"/>
      <c r="AD368" s="330"/>
      <c r="AE368" s="330">
        <f>SUM(AA367:AD367)</f>
        <v>4102659</v>
      </c>
      <c r="AF368" s="333"/>
      <c r="AG368" s="333"/>
      <c r="AH368" s="333"/>
      <c r="AI368" s="333"/>
      <c r="AJ368" s="381"/>
      <c r="AK368" s="333"/>
      <c r="AL368" s="381">
        <f>SUM(AF367:AK367)</f>
        <v>7.2500000000000009</v>
      </c>
      <c r="AM368" s="328">
        <f>SUM(AN367:AR367)</f>
        <v>1784233369</v>
      </c>
      <c r="AN368" s="328"/>
      <c r="AO368" s="58"/>
      <c r="AP368" s="330"/>
      <c r="AQ368" s="330"/>
      <c r="AR368" s="330">
        <f>N367+AD367</f>
        <v>0</v>
      </c>
      <c r="AS368" s="329"/>
    </row>
    <row r="369" spans="4:45" ht="14.1" customHeight="1" thickBot="1" x14ac:dyDescent="0.25">
      <c r="H369" s="475"/>
      <c r="I369" s="328">
        <f>SUM(J370:N370)</f>
        <v>1780130710</v>
      </c>
      <c r="J369" s="328"/>
      <c r="K369" s="328"/>
      <c r="L369" s="328"/>
      <c r="M369" s="328"/>
      <c r="N369" s="328"/>
      <c r="O369" s="329"/>
      <c r="P369" s="328">
        <f>W370</f>
        <v>75000</v>
      </c>
      <c r="Q369" s="329"/>
      <c r="R369" s="329"/>
      <c r="S369" s="329"/>
      <c r="T369" s="328"/>
      <c r="U369" s="329"/>
      <c r="V369" s="330">
        <f>SUM(P370:U370)</f>
        <v>2969072</v>
      </c>
      <c r="W369" s="330"/>
      <c r="X369" s="331"/>
      <c r="Y369" s="331"/>
      <c r="Z369" s="330">
        <f>SUM(W370:Y370)</f>
        <v>75000</v>
      </c>
      <c r="AA369" s="330">
        <f>V370+Z370</f>
        <v>3044072</v>
      </c>
      <c r="AB369" s="332"/>
      <c r="AC369" s="332"/>
      <c r="AD369" s="330"/>
      <c r="AE369" s="330">
        <f>SUM(AA370:AD370)</f>
        <v>4102659</v>
      </c>
      <c r="AF369" s="333"/>
      <c r="AG369" s="333"/>
      <c r="AH369" s="333"/>
      <c r="AI369" s="333"/>
      <c r="AJ369" s="381"/>
      <c r="AK369" s="333"/>
      <c r="AL369" s="381">
        <f>SUM(AF370:AK370)</f>
        <v>7.25</v>
      </c>
      <c r="AM369" s="328">
        <f>AN370+AO370+AP370+AQ370+AR370</f>
        <v>1784233369</v>
      </c>
      <c r="AN369" s="328"/>
      <c r="AO369" s="58"/>
      <c r="AP369" s="48"/>
      <c r="AQ369" s="48"/>
      <c r="AR369" s="48"/>
      <c r="AS369" s="329"/>
    </row>
    <row r="370" spans="4:45" customFormat="1" ht="13.5" thickBot="1" x14ac:dyDescent="0.25">
      <c r="D370" s="8"/>
      <c r="E370" s="4"/>
      <c r="F370" s="8"/>
      <c r="G370" s="17"/>
      <c r="H370" s="19" t="s">
        <v>0</v>
      </c>
      <c r="I370" s="96">
        <f t="shared" ref="I370:AM370" si="641">SUM(I371:I380)</f>
        <v>1780130710</v>
      </c>
      <c r="J370" s="31">
        <f t="shared" si="641"/>
        <v>1316324535</v>
      </c>
      <c r="K370" s="31">
        <f t="shared" si="641"/>
        <v>4278956</v>
      </c>
      <c r="L370" s="31">
        <f t="shared" si="641"/>
        <v>446363974</v>
      </c>
      <c r="M370" s="31">
        <f t="shared" si="641"/>
        <v>13163245</v>
      </c>
      <c r="N370" s="31">
        <f t="shared" ref="N370" si="642">SUM(N371:N380)</f>
        <v>0</v>
      </c>
      <c r="O370" s="629">
        <f t="shared" si="641"/>
        <v>2075.1689000000001</v>
      </c>
      <c r="P370" s="101">
        <f t="shared" si="641"/>
        <v>-75000</v>
      </c>
      <c r="Q370" s="31">
        <f t="shared" si="641"/>
        <v>2837526</v>
      </c>
      <c r="R370" s="31">
        <f t="shared" si="641"/>
        <v>0</v>
      </c>
      <c r="S370" s="31">
        <f t="shared" si="641"/>
        <v>206546</v>
      </c>
      <c r="T370" s="31">
        <f t="shared" si="641"/>
        <v>0</v>
      </c>
      <c r="U370" s="31">
        <f t="shared" si="641"/>
        <v>0</v>
      </c>
      <c r="V370" s="31">
        <f t="shared" si="641"/>
        <v>2969072</v>
      </c>
      <c r="W370" s="31">
        <f t="shared" si="641"/>
        <v>75000</v>
      </c>
      <c r="X370" s="31">
        <f t="shared" si="641"/>
        <v>0</v>
      </c>
      <c r="Y370" s="31">
        <f t="shared" si="641"/>
        <v>0</v>
      </c>
      <c r="Z370" s="31">
        <f t="shared" si="641"/>
        <v>75000</v>
      </c>
      <c r="AA370" s="31">
        <f t="shared" si="641"/>
        <v>3044072</v>
      </c>
      <c r="AB370" s="31">
        <f t="shared" si="641"/>
        <v>1028895</v>
      </c>
      <c r="AC370" s="31">
        <f t="shared" si="641"/>
        <v>29692</v>
      </c>
      <c r="AD370" s="31">
        <f t="shared" si="641"/>
        <v>0</v>
      </c>
      <c r="AE370" s="624">
        <f t="shared" si="641"/>
        <v>4102659</v>
      </c>
      <c r="AF370" s="628">
        <f t="shared" si="641"/>
        <v>-0.02</v>
      </c>
      <c r="AG370" s="32">
        <f t="shared" si="641"/>
        <v>6.8999999999999995</v>
      </c>
      <c r="AH370" s="32">
        <f t="shared" si="641"/>
        <v>0.37</v>
      </c>
      <c r="AI370" s="32">
        <f t="shared" si="641"/>
        <v>0</v>
      </c>
      <c r="AJ370" s="32">
        <f t="shared" si="641"/>
        <v>0</v>
      </c>
      <c r="AK370" s="32">
        <f t="shared" si="641"/>
        <v>0</v>
      </c>
      <c r="AL370" s="629">
        <f t="shared" si="641"/>
        <v>7.2499999999999991</v>
      </c>
      <c r="AM370" s="96">
        <f t="shared" si="641"/>
        <v>1784233369</v>
      </c>
      <c r="AN370" s="31">
        <f t="shared" ref="AN370:AS370" si="643">SUM(AN371:AN380)</f>
        <v>1319293607</v>
      </c>
      <c r="AO370" s="31">
        <f t="shared" si="643"/>
        <v>4353956</v>
      </c>
      <c r="AP370" s="31">
        <f t="shared" si="643"/>
        <v>447392869</v>
      </c>
      <c r="AQ370" s="31">
        <f t="shared" si="643"/>
        <v>13192937</v>
      </c>
      <c r="AR370" s="31">
        <f t="shared" ref="AR370" si="644">SUM(AR371:AR380)</f>
        <v>0</v>
      </c>
      <c r="AS370" s="629">
        <f t="shared" si="643"/>
        <v>2082.4188999999997</v>
      </c>
    </row>
    <row r="371" spans="4:45" customFormat="1" ht="12.75" x14ac:dyDescent="0.2">
      <c r="D371" s="8"/>
      <c r="E371" s="4"/>
      <c r="F371" s="8"/>
      <c r="G371" s="17"/>
      <c r="H371" s="1">
        <v>3111</v>
      </c>
      <c r="I371" s="370">
        <f t="shared" ref="I371:AS371" si="645">SUMIF($F$12:$F$367,"=3111",I$12:I$367)</f>
        <v>392431113</v>
      </c>
      <c r="J371" s="371">
        <f t="shared" si="645"/>
        <v>290718952</v>
      </c>
      <c r="K371" s="371">
        <f t="shared" si="645"/>
        <v>405060</v>
      </c>
      <c r="L371" s="371">
        <f t="shared" si="645"/>
        <v>98399912</v>
      </c>
      <c r="M371" s="371">
        <f t="shared" si="645"/>
        <v>2907189</v>
      </c>
      <c r="N371" s="371">
        <f t="shared" si="645"/>
        <v>0</v>
      </c>
      <c r="O371" s="631">
        <f t="shared" si="645"/>
        <v>503.8633999999999</v>
      </c>
      <c r="P371" s="372">
        <f t="shared" si="645"/>
        <v>-75000</v>
      </c>
      <c r="Q371" s="371">
        <f t="shared" si="645"/>
        <v>462988</v>
      </c>
      <c r="R371" s="371">
        <f t="shared" si="645"/>
        <v>0</v>
      </c>
      <c r="S371" s="371">
        <f t="shared" si="645"/>
        <v>0</v>
      </c>
      <c r="T371" s="371">
        <f t="shared" si="645"/>
        <v>0</v>
      </c>
      <c r="U371" s="371">
        <f t="shared" si="645"/>
        <v>0</v>
      </c>
      <c r="V371" s="371">
        <f t="shared" si="645"/>
        <v>387988</v>
      </c>
      <c r="W371" s="371">
        <f t="shared" si="645"/>
        <v>75000</v>
      </c>
      <c r="X371" s="371">
        <f t="shared" si="645"/>
        <v>0</v>
      </c>
      <c r="Y371" s="371">
        <f t="shared" si="645"/>
        <v>0</v>
      </c>
      <c r="Z371" s="371">
        <f t="shared" si="645"/>
        <v>75000</v>
      </c>
      <c r="AA371" s="371">
        <f t="shared" si="645"/>
        <v>462988</v>
      </c>
      <c r="AB371" s="371">
        <f t="shared" si="645"/>
        <v>156490</v>
      </c>
      <c r="AC371" s="371">
        <f t="shared" si="645"/>
        <v>3880</v>
      </c>
      <c r="AD371" s="371">
        <f t="shared" si="645"/>
        <v>0</v>
      </c>
      <c r="AE371" s="625">
        <f t="shared" si="645"/>
        <v>623358</v>
      </c>
      <c r="AF371" s="630">
        <f t="shared" si="645"/>
        <v>-0.02</v>
      </c>
      <c r="AG371" s="373">
        <f t="shared" si="645"/>
        <v>1.17</v>
      </c>
      <c r="AH371" s="373">
        <f t="shared" si="645"/>
        <v>0</v>
      </c>
      <c r="AI371" s="373">
        <f t="shared" si="645"/>
        <v>0</v>
      </c>
      <c r="AJ371" s="373">
        <f t="shared" si="645"/>
        <v>0</v>
      </c>
      <c r="AK371" s="373">
        <f t="shared" si="645"/>
        <v>0</v>
      </c>
      <c r="AL371" s="631">
        <f t="shared" si="645"/>
        <v>1.1499999999999999</v>
      </c>
      <c r="AM371" s="370">
        <f t="shared" si="645"/>
        <v>393054471</v>
      </c>
      <c r="AN371" s="371">
        <f t="shared" si="645"/>
        <v>291106940</v>
      </c>
      <c r="AO371" s="371">
        <f t="shared" si="645"/>
        <v>480060</v>
      </c>
      <c r="AP371" s="371">
        <f t="shared" si="645"/>
        <v>98556402</v>
      </c>
      <c r="AQ371" s="371">
        <f t="shared" si="645"/>
        <v>2911069</v>
      </c>
      <c r="AR371" s="371">
        <f t="shared" si="645"/>
        <v>0</v>
      </c>
      <c r="AS371" s="631">
        <f t="shared" si="645"/>
        <v>505.01339999999993</v>
      </c>
    </row>
    <row r="372" spans="4:45" customFormat="1" ht="12.75" x14ac:dyDescent="0.2">
      <c r="D372" s="8"/>
      <c r="E372" s="4"/>
      <c r="F372" s="8"/>
      <c r="G372" s="17"/>
      <c r="H372" s="2">
        <v>3113</v>
      </c>
      <c r="I372" s="370">
        <f t="shared" ref="I372:AS372" si="646">SUMIF($F$12:$F$367,"=3113",I$12:I$367)</f>
        <v>1047875601</v>
      </c>
      <c r="J372" s="14">
        <f t="shared" si="646"/>
        <v>774955633</v>
      </c>
      <c r="K372" s="14">
        <f t="shared" si="646"/>
        <v>2418096</v>
      </c>
      <c r="L372" s="14">
        <f t="shared" si="646"/>
        <v>262752317</v>
      </c>
      <c r="M372" s="14">
        <f t="shared" si="646"/>
        <v>7749555</v>
      </c>
      <c r="N372" s="14">
        <f t="shared" si="646"/>
        <v>0</v>
      </c>
      <c r="O372" s="633">
        <f t="shared" si="646"/>
        <v>1149.2948000000001</v>
      </c>
      <c r="P372" s="120">
        <f t="shared" si="646"/>
        <v>0</v>
      </c>
      <c r="Q372" s="14">
        <f t="shared" si="646"/>
        <v>2201229</v>
      </c>
      <c r="R372" s="14">
        <f t="shared" si="646"/>
        <v>0</v>
      </c>
      <c r="S372" s="14">
        <f t="shared" si="646"/>
        <v>206546</v>
      </c>
      <c r="T372" s="14">
        <f t="shared" si="646"/>
        <v>0</v>
      </c>
      <c r="U372" s="14">
        <f t="shared" si="646"/>
        <v>0</v>
      </c>
      <c r="V372" s="14">
        <f t="shared" si="646"/>
        <v>2407775</v>
      </c>
      <c r="W372" s="14">
        <f t="shared" si="646"/>
        <v>0</v>
      </c>
      <c r="X372" s="14">
        <f t="shared" si="646"/>
        <v>0</v>
      </c>
      <c r="Y372" s="14">
        <f t="shared" si="646"/>
        <v>0</v>
      </c>
      <c r="Z372" s="14">
        <f t="shared" si="646"/>
        <v>0</v>
      </c>
      <c r="AA372" s="14">
        <f t="shared" si="646"/>
        <v>2407775</v>
      </c>
      <c r="AB372" s="14">
        <f t="shared" si="646"/>
        <v>813828</v>
      </c>
      <c r="AC372" s="14">
        <f t="shared" si="646"/>
        <v>24078</v>
      </c>
      <c r="AD372" s="14">
        <f t="shared" si="646"/>
        <v>0</v>
      </c>
      <c r="AE372" s="626">
        <f t="shared" si="646"/>
        <v>3245681</v>
      </c>
      <c r="AF372" s="632">
        <f t="shared" si="646"/>
        <v>0</v>
      </c>
      <c r="AG372" s="11">
        <f t="shared" si="646"/>
        <v>5.52</v>
      </c>
      <c r="AH372" s="11">
        <f t="shared" si="646"/>
        <v>0.37</v>
      </c>
      <c r="AI372" s="11">
        <f t="shared" si="646"/>
        <v>0</v>
      </c>
      <c r="AJ372" s="11">
        <f t="shared" si="646"/>
        <v>0</v>
      </c>
      <c r="AK372" s="11">
        <f t="shared" si="646"/>
        <v>0</v>
      </c>
      <c r="AL372" s="633">
        <f t="shared" si="646"/>
        <v>5.89</v>
      </c>
      <c r="AM372" s="119">
        <f t="shared" si="646"/>
        <v>1051121282</v>
      </c>
      <c r="AN372" s="14">
        <f t="shared" si="646"/>
        <v>777363408</v>
      </c>
      <c r="AO372" s="14">
        <f t="shared" si="646"/>
        <v>2418096</v>
      </c>
      <c r="AP372" s="14">
        <f t="shared" si="646"/>
        <v>263566145</v>
      </c>
      <c r="AQ372" s="14">
        <f t="shared" si="646"/>
        <v>7773633</v>
      </c>
      <c r="AR372" s="14">
        <f t="shared" si="646"/>
        <v>0</v>
      </c>
      <c r="AS372" s="633">
        <f t="shared" si="646"/>
        <v>1155.1848</v>
      </c>
    </row>
    <row r="373" spans="4:45" customFormat="1" ht="12.75" x14ac:dyDescent="0.2">
      <c r="D373" s="8"/>
      <c r="E373" s="4"/>
      <c r="F373" s="8"/>
      <c r="G373" s="17"/>
      <c r="H373" s="2">
        <v>3114</v>
      </c>
      <c r="I373" s="370">
        <f t="shared" ref="I373:AS373" si="647">SUMIF($F$12:$F$367,"=3114",I$12:I$367)</f>
        <v>62799281</v>
      </c>
      <c r="J373" s="14">
        <f t="shared" si="647"/>
        <v>46587003</v>
      </c>
      <c r="K373" s="14">
        <f t="shared" si="647"/>
        <v>0</v>
      </c>
      <c r="L373" s="14">
        <f t="shared" si="647"/>
        <v>15746407</v>
      </c>
      <c r="M373" s="14">
        <f t="shared" si="647"/>
        <v>465871</v>
      </c>
      <c r="N373" s="14">
        <f t="shared" si="647"/>
        <v>0</v>
      </c>
      <c r="O373" s="633">
        <f t="shared" si="647"/>
        <v>74.297800000000009</v>
      </c>
      <c r="P373" s="120">
        <f t="shared" si="647"/>
        <v>0</v>
      </c>
      <c r="Q373" s="14">
        <f t="shared" si="647"/>
        <v>0</v>
      </c>
      <c r="R373" s="14">
        <f t="shared" si="647"/>
        <v>0</v>
      </c>
      <c r="S373" s="14">
        <f t="shared" si="647"/>
        <v>0</v>
      </c>
      <c r="T373" s="14">
        <f t="shared" si="647"/>
        <v>0</v>
      </c>
      <c r="U373" s="14">
        <f t="shared" si="647"/>
        <v>0</v>
      </c>
      <c r="V373" s="14">
        <f t="shared" si="647"/>
        <v>0</v>
      </c>
      <c r="W373" s="14">
        <f t="shared" si="647"/>
        <v>0</v>
      </c>
      <c r="X373" s="14">
        <f t="shared" si="647"/>
        <v>0</v>
      </c>
      <c r="Y373" s="14">
        <f t="shared" si="647"/>
        <v>0</v>
      </c>
      <c r="Z373" s="14">
        <f t="shared" si="647"/>
        <v>0</v>
      </c>
      <c r="AA373" s="14">
        <f t="shared" si="647"/>
        <v>0</v>
      </c>
      <c r="AB373" s="14">
        <f t="shared" si="647"/>
        <v>0</v>
      </c>
      <c r="AC373" s="14">
        <f t="shared" si="647"/>
        <v>0</v>
      </c>
      <c r="AD373" s="14">
        <f t="shared" si="647"/>
        <v>0</v>
      </c>
      <c r="AE373" s="626">
        <f t="shared" si="647"/>
        <v>0</v>
      </c>
      <c r="AF373" s="632">
        <f t="shared" si="647"/>
        <v>0</v>
      </c>
      <c r="AG373" s="11">
        <f t="shared" si="647"/>
        <v>0</v>
      </c>
      <c r="AH373" s="11">
        <f t="shared" si="647"/>
        <v>0</v>
      </c>
      <c r="AI373" s="11">
        <f t="shared" si="647"/>
        <v>0</v>
      </c>
      <c r="AJ373" s="11">
        <f t="shared" si="647"/>
        <v>0</v>
      </c>
      <c r="AK373" s="11">
        <f t="shared" si="647"/>
        <v>0</v>
      </c>
      <c r="AL373" s="633">
        <f t="shared" si="647"/>
        <v>0</v>
      </c>
      <c r="AM373" s="119">
        <f t="shared" si="647"/>
        <v>62799281</v>
      </c>
      <c r="AN373" s="14">
        <f t="shared" si="647"/>
        <v>46587003</v>
      </c>
      <c r="AO373" s="14">
        <f t="shared" si="647"/>
        <v>0</v>
      </c>
      <c r="AP373" s="14">
        <f t="shared" si="647"/>
        <v>15746407</v>
      </c>
      <c r="AQ373" s="14">
        <f t="shared" si="647"/>
        <v>465871</v>
      </c>
      <c r="AR373" s="14">
        <f t="shared" si="647"/>
        <v>0</v>
      </c>
      <c r="AS373" s="633">
        <f t="shared" si="647"/>
        <v>74.297800000000009</v>
      </c>
    </row>
    <row r="374" spans="4:45" customFormat="1" ht="12.75" x14ac:dyDescent="0.2">
      <c r="D374" s="8"/>
      <c r="E374" s="4"/>
      <c r="F374" s="8"/>
      <c r="G374" s="17"/>
      <c r="H374" s="2">
        <v>3117</v>
      </c>
      <c r="I374" s="370">
        <f t="shared" ref="I374:AS374" si="648">SUMIF($F$12:$F$367,"=3117",I$12:I$367)</f>
        <v>51356023</v>
      </c>
      <c r="J374" s="14">
        <f t="shared" si="648"/>
        <v>37818231</v>
      </c>
      <c r="K374" s="14">
        <f t="shared" si="648"/>
        <v>281800</v>
      </c>
      <c r="L374" s="14">
        <f t="shared" si="648"/>
        <v>12877809</v>
      </c>
      <c r="M374" s="14">
        <f t="shared" si="648"/>
        <v>378183</v>
      </c>
      <c r="N374" s="14">
        <f t="shared" si="648"/>
        <v>0</v>
      </c>
      <c r="O374" s="633">
        <f t="shared" si="648"/>
        <v>62.378</v>
      </c>
      <c r="P374" s="120">
        <f t="shared" si="648"/>
        <v>0</v>
      </c>
      <c r="Q374" s="14">
        <f t="shared" si="648"/>
        <v>173309</v>
      </c>
      <c r="R374" s="14">
        <f t="shared" si="648"/>
        <v>0</v>
      </c>
      <c r="S374" s="14">
        <f t="shared" si="648"/>
        <v>0</v>
      </c>
      <c r="T374" s="14">
        <f t="shared" si="648"/>
        <v>0</v>
      </c>
      <c r="U374" s="14">
        <f t="shared" si="648"/>
        <v>0</v>
      </c>
      <c r="V374" s="14">
        <f t="shared" si="648"/>
        <v>173309</v>
      </c>
      <c r="W374" s="14">
        <f t="shared" si="648"/>
        <v>0</v>
      </c>
      <c r="X374" s="14">
        <f t="shared" si="648"/>
        <v>0</v>
      </c>
      <c r="Y374" s="14">
        <f t="shared" si="648"/>
        <v>0</v>
      </c>
      <c r="Z374" s="14">
        <f t="shared" si="648"/>
        <v>0</v>
      </c>
      <c r="AA374" s="14">
        <f t="shared" si="648"/>
        <v>173309</v>
      </c>
      <c r="AB374" s="14">
        <f t="shared" si="648"/>
        <v>58577</v>
      </c>
      <c r="AC374" s="14">
        <f t="shared" si="648"/>
        <v>1734</v>
      </c>
      <c r="AD374" s="14">
        <f t="shared" si="648"/>
        <v>0</v>
      </c>
      <c r="AE374" s="626">
        <f t="shared" si="648"/>
        <v>233620</v>
      </c>
      <c r="AF374" s="632">
        <f t="shared" si="648"/>
        <v>0</v>
      </c>
      <c r="AG374" s="11">
        <f t="shared" si="648"/>
        <v>0.21000000000000002</v>
      </c>
      <c r="AH374" s="11">
        <f t="shared" si="648"/>
        <v>0</v>
      </c>
      <c r="AI374" s="11">
        <f t="shared" si="648"/>
        <v>0</v>
      </c>
      <c r="AJ374" s="11">
        <f t="shared" si="648"/>
        <v>0</v>
      </c>
      <c r="AK374" s="11">
        <f t="shared" si="648"/>
        <v>0</v>
      </c>
      <c r="AL374" s="633">
        <f t="shared" si="648"/>
        <v>0.21000000000000002</v>
      </c>
      <c r="AM374" s="119">
        <f t="shared" si="648"/>
        <v>51589643</v>
      </c>
      <c r="AN374" s="14">
        <f t="shared" si="648"/>
        <v>37991540</v>
      </c>
      <c r="AO374" s="14">
        <f t="shared" si="648"/>
        <v>281800</v>
      </c>
      <c r="AP374" s="14">
        <f t="shared" si="648"/>
        <v>12936386</v>
      </c>
      <c r="AQ374" s="14">
        <f t="shared" si="648"/>
        <v>379917</v>
      </c>
      <c r="AR374" s="14">
        <f t="shared" si="648"/>
        <v>0</v>
      </c>
      <c r="AS374" s="633">
        <f t="shared" si="648"/>
        <v>62.587999999999994</v>
      </c>
    </row>
    <row r="375" spans="4:45" customFormat="1" ht="12.75" x14ac:dyDescent="0.2">
      <c r="D375" s="8"/>
      <c r="E375" s="4"/>
      <c r="F375" s="8"/>
      <c r="G375" s="17"/>
      <c r="H375" s="2">
        <v>3122</v>
      </c>
      <c r="I375" s="370">
        <f t="shared" ref="I375:AS375" si="649">SUMIF($F$12:$F$367,"=3122",I$12:I$367)</f>
        <v>0</v>
      </c>
      <c r="J375" s="14">
        <f t="shared" si="649"/>
        <v>0</v>
      </c>
      <c r="K375" s="14">
        <f t="shared" si="649"/>
        <v>0</v>
      </c>
      <c r="L375" s="14">
        <f t="shared" si="649"/>
        <v>0</v>
      </c>
      <c r="M375" s="14">
        <f t="shared" si="649"/>
        <v>0</v>
      </c>
      <c r="N375" s="14">
        <f t="shared" si="649"/>
        <v>0</v>
      </c>
      <c r="O375" s="633">
        <f t="shared" si="649"/>
        <v>0</v>
      </c>
      <c r="P375" s="120">
        <f t="shared" si="649"/>
        <v>0</v>
      </c>
      <c r="Q375" s="14">
        <f t="shared" si="649"/>
        <v>0</v>
      </c>
      <c r="R375" s="14">
        <f t="shared" si="649"/>
        <v>0</v>
      </c>
      <c r="S375" s="14">
        <f t="shared" si="649"/>
        <v>0</v>
      </c>
      <c r="T375" s="14">
        <f t="shared" si="649"/>
        <v>0</v>
      </c>
      <c r="U375" s="14">
        <f t="shared" si="649"/>
        <v>0</v>
      </c>
      <c r="V375" s="14">
        <f t="shared" si="649"/>
        <v>0</v>
      </c>
      <c r="W375" s="14">
        <f t="shared" si="649"/>
        <v>0</v>
      </c>
      <c r="X375" s="14">
        <f t="shared" si="649"/>
        <v>0</v>
      </c>
      <c r="Y375" s="14">
        <f t="shared" si="649"/>
        <v>0</v>
      </c>
      <c r="Z375" s="14">
        <f t="shared" si="649"/>
        <v>0</v>
      </c>
      <c r="AA375" s="14">
        <f t="shared" si="649"/>
        <v>0</v>
      </c>
      <c r="AB375" s="14">
        <f t="shared" si="649"/>
        <v>0</v>
      </c>
      <c r="AC375" s="14">
        <f t="shared" si="649"/>
        <v>0</v>
      </c>
      <c r="AD375" s="14">
        <f t="shared" si="649"/>
        <v>0</v>
      </c>
      <c r="AE375" s="626">
        <f t="shared" si="649"/>
        <v>0</v>
      </c>
      <c r="AF375" s="632">
        <f t="shared" si="649"/>
        <v>0</v>
      </c>
      <c r="AG375" s="11">
        <f t="shared" si="649"/>
        <v>0</v>
      </c>
      <c r="AH375" s="11">
        <f t="shared" si="649"/>
        <v>0</v>
      </c>
      <c r="AI375" s="11">
        <f t="shared" si="649"/>
        <v>0</v>
      </c>
      <c r="AJ375" s="11">
        <f t="shared" si="649"/>
        <v>0</v>
      </c>
      <c r="AK375" s="11">
        <f t="shared" si="649"/>
        <v>0</v>
      </c>
      <c r="AL375" s="633">
        <f t="shared" si="649"/>
        <v>0</v>
      </c>
      <c r="AM375" s="119">
        <f t="shared" si="649"/>
        <v>0</v>
      </c>
      <c r="AN375" s="14">
        <f t="shared" si="649"/>
        <v>0</v>
      </c>
      <c r="AO375" s="14">
        <f t="shared" si="649"/>
        <v>0</v>
      </c>
      <c r="AP375" s="14">
        <f t="shared" si="649"/>
        <v>0</v>
      </c>
      <c r="AQ375" s="14">
        <f t="shared" si="649"/>
        <v>0</v>
      </c>
      <c r="AR375" s="14">
        <f t="shared" si="649"/>
        <v>0</v>
      </c>
      <c r="AS375" s="633">
        <f t="shared" si="649"/>
        <v>0</v>
      </c>
    </row>
    <row r="376" spans="4:45" customFormat="1" ht="12.75" x14ac:dyDescent="0.2">
      <c r="D376" s="8"/>
      <c r="E376" s="4"/>
      <c r="F376" s="8"/>
      <c r="G376" s="17"/>
      <c r="H376" s="2">
        <v>3124</v>
      </c>
      <c r="I376" s="370">
        <f t="shared" ref="I376:AS376" si="650">SUMIF($F$12:$F$367,"=3124",I$12:I$367)</f>
        <v>0</v>
      </c>
      <c r="J376" s="14">
        <f t="shared" si="650"/>
        <v>0</v>
      </c>
      <c r="K376" s="14">
        <f t="shared" si="650"/>
        <v>0</v>
      </c>
      <c r="L376" s="14">
        <f t="shared" si="650"/>
        <v>0</v>
      </c>
      <c r="M376" s="14">
        <f t="shared" si="650"/>
        <v>0</v>
      </c>
      <c r="N376" s="14">
        <f t="shared" si="650"/>
        <v>0</v>
      </c>
      <c r="O376" s="633">
        <f t="shared" si="650"/>
        <v>0</v>
      </c>
      <c r="P376" s="120">
        <f t="shared" si="650"/>
        <v>0</v>
      </c>
      <c r="Q376" s="14">
        <f t="shared" si="650"/>
        <v>0</v>
      </c>
      <c r="R376" s="14">
        <f t="shared" si="650"/>
        <v>0</v>
      </c>
      <c r="S376" s="14">
        <f t="shared" si="650"/>
        <v>0</v>
      </c>
      <c r="T376" s="14">
        <f t="shared" si="650"/>
        <v>0</v>
      </c>
      <c r="U376" s="14">
        <f t="shared" si="650"/>
        <v>0</v>
      </c>
      <c r="V376" s="14">
        <f t="shared" si="650"/>
        <v>0</v>
      </c>
      <c r="W376" s="14">
        <f t="shared" si="650"/>
        <v>0</v>
      </c>
      <c r="X376" s="14">
        <f t="shared" si="650"/>
        <v>0</v>
      </c>
      <c r="Y376" s="14">
        <f t="shared" si="650"/>
        <v>0</v>
      </c>
      <c r="Z376" s="14">
        <f t="shared" si="650"/>
        <v>0</v>
      </c>
      <c r="AA376" s="14">
        <f t="shared" si="650"/>
        <v>0</v>
      </c>
      <c r="AB376" s="14">
        <f t="shared" si="650"/>
        <v>0</v>
      </c>
      <c r="AC376" s="14">
        <f t="shared" si="650"/>
        <v>0</v>
      </c>
      <c r="AD376" s="14">
        <f t="shared" si="650"/>
        <v>0</v>
      </c>
      <c r="AE376" s="626">
        <f t="shared" si="650"/>
        <v>0</v>
      </c>
      <c r="AF376" s="632">
        <f t="shared" si="650"/>
        <v>0</v>
      </c>
      <c r="AG376" s="11">
        <f t="shared" si="650"/>
        <v>0</v>
      </c>
      <c r="AH376" s="11">
        <f t="shared" si="650"/>
        <v>0</v>
      </c>
      <c r="AI376" s="11">
        <f t="shared" si="650"/>
        <v>0</v>
      </c>
      <c r="AJ376" s="11">
        <f t="shared" si="650"/>
        <v>0</v>
      </c>
      <c r="AK376" s="11">
        <f t="shared" si="650"/>
        <v>0</v>
      </c>
      <c r="AL376" s="633">
        <f t="shared" si="650"/>
        <v>0</v>
      </c>
      <c r="AM376" s="119">
        <f t="shared" si="650"/>
        <v>0</v>
      </c>
      <c r="AN376" s="14">
        <f t="shared" si="650"/>
        <v>0</v>
      </c>
      <c r="AO376" s="14">
        <f t="shared" si="650"/>
        <v>0</v>
      </c>
      <c r="AP376" s="14">
        <f t="shared" si="650"/>
        <v>0</v>
      </c>
      <c r="AQ376" s="14">
        <f t="shared" si="650"/>
        <v>0</v>
      </c>
      <c r="AR376" s="14">
        <f t="shared" si="650"/>
        <v>0</v>
      </c>
      <c r="AS376" s="633">
        <f t="shared" si="650"/>
        <v>0</v>
      </c>
    </row>
    <row r="377" spans="4:45" customFormat="1" ht="12.75" x14ac:dyDescent="0.2">
      <c r="D377" s="8"/>
      <c r="E377" s="4"/>
      <c r="F377" s="8"/>
      <c r="G377" s="17"/>
      <c r="H377" s="2">
        <v>3141</v>
      </c>
      <c r="I377" s="370">
        <f t="shared" ref="I377:AS377" si="651">SUMIF($F$12:$F$367,"=3141",I$12:I$367)</f>
        <v>0</v>
      </c>
      <c r="J377" s="14">
        <f t="shared" si="651"/>
        <v>0</v>
      </c>
      <c r="K377" s="14">
        <f t="shared" si="651"/>
        <v>0</v>
      </c>
      <c r="L377" s="14">
        <f t="shared" si="651"/>
        <v>0</v>
      </c>
      <c r="M377" s="14">
        <f t="shared" si="651"/>
        <v>0</v>
      </c>
      <c r="N377" s="14">
        <f t="shared" si="651"/>
        <v>0</v>
      </c>
      <c r="O377" s="633">
        <f t="shared" si="651"/>
        <v>0</v>
      </c>
      <c r="P377" s="120">
        <f t="shared" si="651"/>
        <v>0</v>
      </c>
      <c r="Q377" s="14">
        <f t="shared" si="651"/>
        <v>0</v>
      </c>
      <c r="R377" s="14">
        <f t="shared" si="651"/>
        <v>0</v>
      </c>
      <c r="S377" s="14">
        <f t="shared" si="651"/>
        <v>0</v>
      </c>
      <c r="T377" s="14">
        <f t="shared" si="651"/>
        <v>0</v>
      </c>
      <c r="U377" s="14">
        <f t="shared" si="651"/>
        <v>0</v>
      </c>
      <c r="V377" s="14">
        <f t="shared" si="651"/>
        <v>0</v>
      </c>
      <c r="W377" s="14">
        <f t="shared" si="651"/>
        <v>0</v>
      </c>
      <c r="X377" s="14">
        <f t="shared" si="651"/>
        <v>0</v>
      </c>
      <c r="Y377" s="14">
        <f t="shared" si="651"/>
        <v>0</v>
      </c>
      <c r="Z377" s="14">
        <f t="shared" si="651"/>
        <v>0</v>
      </c>
      <c r="AA377" s="14">
        <f t="shared" si="651"/>
        <v>0</v>
      </c>
      <c r="AB377" s="14">
        <f t="shared" si="651"/>
        <v>0</v>
      </c>
      <c r="AC377" s="14">
        <f t="shared" si="651"/>
        <v>0</v>
      </c>
      <c r="AD377" s="14">
        <f t="shared" si="651"/>
        <v>0</v>
      </c>
      <c r="AE377" s="626">
        <f t="shared" si="651"/>
        <v>0</v>
      </c>
      <c r="AF377" s="632">
        <f t="shared" si="651"/>
        <v>0</v>
      </c>
      <c r="AG377" s="11">
        <f t="shared" si="651"/>
        <v>0</v>
      </c>
      <c r="AH377" s="11">
        <f t="shared" si="651"/>
        <v>0</v>
      </c>
      <c r="AI377" s="11">
        <f t="shared" si="651"/>
        <v>0</v>
      </c>
      <c r="AJ377" s="11">
        <f t="shared" si="651"/>
        <v>0</v>
      </c>
      <c r="AK377" s="11">
        <f t="shared" si="651"/>
        <v>0</v>
      </c>
      <c r="AL377" s="633">
        <f t="shared" si="651"/>
        <v>0</v>
      </c>
      <c r="AM377" s="119">
        <f t="shared" si="651"/>
        <v>0</v>
      </c>
      <c r="AN377" s="14">
        <f t="shared" si="651"/>
        <v>0</v>
      </c>
      <c r="AO377" s="14">
        <f t="shared" si="651"/>
        <v>0</v>
      </c>
      <c r="AP377" s="14">
        <f t="shared" si="651"/>
        <v>0</v>
      </c>
      <c r="AQ377" s="14">
        <f t="shared" si="651"/>
        <v>0</v>
      </c>
      <c r="AR377" s="14">
        <f t="shared" si="651"/>
        <v>0</v>
      </c>
      <c r="AS377" s="633">
        <f t="shared" si="651"/>
        <v>0</v>
      </c>
    </row>
    <row r="378" spans="4:45" customFormat="1" ht="12.75" x14ac:dyDescent="0.2">
      <c r="D378" s="8"/>
      <c r="E378" s="4"/>
      <c r="F378" s="8"/>
      <c r="G378" s="17"/>
      <c r="H378" s="2">
        <v>3143</v>
      </c>
      <c r="I378" s="370">
        <f t="shared" ref="I378:AS378" si="652">SUMIF($F$12:$F$367,"=3143",I$12:I$367)</f>
        <v>122560611</v>
      </c>
      <c r="J378" s="14">
        <f t="shared" si="652"/>
        <v>90668216</v>
      </c>
      <c r="K378" s="14">
        <f t="shared" si="652"/>
        <v>254000</v>
      </c>
      <c r="L378" s="14">
        <f t="shared" si="652"/>
        <v>30731712</v>
      </c>
      <c r="M378" s="14">
        <f t="shared" si="652"/>
        <v>906683</v>
      </c>
      <c r="N378" s="14">
        <f t="shared" si="652"/>
        <v>0</v>
      </c>
      <c r="O378" s="633">
        <f t="shared" si="652"/>
        <v>170.70800000000003</v>
      </c>
      <c r="P378" s="120">
        <f t="shared" si="652"/>
        <v>0</v>
      </c>
      <c r="Q378" s="14">
        <f t="shared" si="652"/>
        <v>0</v>
      </c>
      <c r="R378" s="14">
        <f t="shared" si="652"/>
        <v>0</v>
      </c>
      <c r="S378" s="14">
        <f t="shared" si="652"/>
        <v>0</v>
      </c>
      <c r="T378" s="14">
        <f t="shared" si="652"/>
        <v>0</v>
      </c>
      <c r="U378" s="14">
        <f t="shared" si="652"/>
        <v>0</v>
      </c>
      <c r="V378" s="14">
        <f t="shared" si="652"/>
        <v>0</v>
      </c>
      <c r="W378" s="14">
        <f t="shared" si="652"/>
        <v>0</v>
      </c>
      <c r="X378" s="14">
        <f t="shared" si="652"/>
        <v>0</v>
      </c>
      <c r="Y378" s="14">
        <f t="shared" si="652"/>
        <v>0</v>
      </c>
      <c r="Z378" s="14">
        <f t="shared" si="652"/>
        <v>0</v>
      </c>
      <c r="AA378" s="14">
        <f t="shared" si="652"/>
        <v>0</v>
      </c>
      <c r="AB378" s="14">
        <f t="shared" si="652"/>
        <v>0</v>
      </c>
      <c r="AC378" s="14">
        <f t="shared" si="652"/>
        <v>0</v>
      </c>
      <c r="AD378" s="14">
        <f t="shared" si="652"/>
        <v>0</v>
      </c>
      <c r="AE378" s="626">
        <f t="shared" si="652"/>
        <v>0</v>
      </c>
      <c r="AF378" s="632">
        <f t="shared" si="652"/>
        <v>0</v>
      </c>
      <c r="AG378" s="11">
        <f t="shared" si="652"/>
        <v>0</v>
      </c>
      <c r="AH378" s="11">
        <f t="shared" si="652"/>
        <v>0</v>
      </c>
      <c r="AI378" s="11">
        <f t="shared" si="652"/>
        <v>0</v>
      </c>
      <c r="AJ378" s="11">
        <f t="shared" si="652"/>
        <v>0</v>
      </c>
      <c r="AK378" s="11">
        <f t="shared" si="652"/>
        <v>0</v>
      </c>
      <c r="AL378" s="633">
        <f t="shared" si="652"/>
        <v>0</v>
      </c>
      <c r="AM378" s="119">
        <f t="shared" si="652"/>
        <v>122560611</v>
      </c>
      <c r="AN378" s="14">
        <f t="shared" si="652"/>
        <v>90668216</v>
      </c>
      <c r="AO378" s="14">
        <f t="shared" si="652"/>
        <v>254000</v>
      </c>
      <c r="AP378" s="14">
        <f t="shared" si="652"/>
        <v>30731712</v>
      </c>
      <c r="AQ378" s="14">
        <f t="shared" si="652"/>
        <v>906683</v>
      </c>
      <c r="AR378" s="14">
        <f t="shared" si="652"/>
        <v>0</v>
      </c>
      <c r="AS378" s="633">
        <f t="shared" si="652"/>
        <v>170.70800000000003</v>
      </c>
    </row>
    <row r="379" spans="4:45" customFormat="1" ht="12.75" x14ac:dyDescent="0.2">
      <c r="D379" s="8"/>
      <c r="E379" s="4"/>
      <c r="F379" s="8"/>
      <c r="G379" s="17"/>
      <c r="H379" s="2">
        <v>3231</v>
      </c>
      <c r="I379" s="370">
        <f t="shared" ref="I379:AS379" si="653">SUMIF($F$12:$F$367,"=3231",I$12:I$367)</f>
        <v>92932340</v>
      </c>
      <c r="J379" s="14">
        <f t="shared" si="653"/>
        <v>68821796</v>
      </c>
      <c r="K379" s="14">
        <f t="shared" si="653"/>
        <v>120000</v>
      </c>
      <c r="L379" s="14">
        <f t="shared" si="653"/>
        <v>23302327</v>
      </c>
      <c r="M379" s="14">
        <f t="shared" si="653"/>
        <v>688217</v>
      </c>
      <c r="N379" s="14">
        <f t="shared" si="653"/>
        <v>0</v>
      </c>
      <c r="O379" s="633">
        <f t="shared" si="653"/>
        <v>103.21689999999998</v>
      </c>
      <c r="P379" s="120">
        <f t="shared" si="653"/>
        <v>0</v>
      </c>
      <c r="Q379" s="14">
        <f t="shared" si="653"/>
        <v>0</v>
      </c>
      <c r="R379" s="14">
        <f t="shared" si="653"/>
        <v>0</v>
      </c>
      <c r="S379" s="14">
        <f t="shared" si="653"/>
        <v>0</v>
      </c>
      <c r="T379" s="14">
        <f t="shared" si="653"/>
        <v>0</v>
      </c>
      <c r="U379" s="14">
        <f t="shared" si="653"/>
        <v>0</v>
      </c>
      <c r="V379" s="14">
        <f t="shared" si="653"/>
        <v>0</v>
      </c>
      <c r="W379" s="14">
        <f t="shared" si="653"/>
        <v>0</v>
      </c>
      <c r="X379" s="14">
        <f t="shared" si="653"/>
        <v>0</v>
      </c>
      <c r="Y379" s="14">
        <f t="shared" si="653"/>
        <v>0</v>
      </c>
      <c r="Z379" s="14">
        <f t="shared" si="653"/>
        <v>0</v>
      </c>
      <c r="AA379" s="14">
        <f t="shared" si="653"/>
        <v>0</v>
      </c>
      <c r="AB379" s="14">
        <f t="shared" si="653"/>
        <v>0</v>
      </c>
      <c r="AC379" s="14">
        <f t="shared" si="653"/>
        <v>0</v>
      </c>
      <c r="AD379" s="14">
        <f t="shared" si="653"/>
        <v>0</v>
      </c>
      <c r="AE379" s="626">
        <f t="shared" si="653"/>
        <v>0</v>
      </c>
      <c r="AF379" s="632">
        <f t="shared" si="653"/>
        <v>0</v>
      </c>
      <c r="AG379" s="11">
        <f t="shared" si="653"/>
        <v>0</v>
      </c>
      <c r="AH379" s="11">
        <f t="shared" si="653"/>
        <v>0</v>
      </c>
      <c r="AI379" s="11">
        <f t="shared" si="653"/>
        <v>0</v>
      </c>
      <c r="AJ379" s="11">
        <f t="shared" si="653"/>
        <v>0</v>
      </c>
      <c r="AK379" s="11">
        <f t="shared" si="653"/>
        <v>0</v>
      </c>
      <c r="AL379" s="633">
        <f t="shared" si="653"/>
        <v>0</v>
      </c>
      <c r="AM379" s="119">
        <f t="shared" si="653"/>
        <v>92932340</v>
      </c>
      <c r="AN379" s="14">
        <f t="shared" si="653"/>
        <v>68821796</v>
      </c>
      <c r="AO379" s="14">
        <f t="shared" si="653"/>
        <v>120000</v>
      </c>
      <c r="AP379" s="14">
        <f t="shared" si="653"/>
        <v>23302327</v>
      </c>
      <c r="AQ379" s="14">
        <f t="shared" si="653"/>
        <v>688217</v>
      </c>
      <c r="AR379" s="14">
        <f t="shared" si="653"/>
        <v>0</v>
      </c>
      <c r="AS379" s="633">
        <f t="shared" si="653"/>
        <v>103.21689999999998</v>
      </c>
    </row>
    <row r="380" spans="4:45" customFormat="1" ht="13.5" thickBot="1" x14ac:dyDescent="0.25">
      <c r="D380" s="8"/>
      <c r="E380" s="4"/>
      <c r="F380" s="8"/>
      <c r="G380" s="17"/>
      <c r="H380" s="103">
        <v>3233</v>
      </c>
      <c r="I380" s="826">
        <f t="shared" ref="I380:AS380" si="654">SUMIF($F$12:$F$367,"=3233",I$12:I$367)</f>
        <v>10175741</v>
      </c>
      <c r="J380" s="123">
        <f t="shared" si="654"/>
        <v>6754704</v>
      </c>
      <c r="K380" s="123">
        <f t="shared" si="654"/>
        <v>800000</v>
      </c>
      <c r="L380" s="123">
        <f t="shared" si="654"/>
        <v>2553490</v>
      </c>
      <c r="M380" s="123">
        <f t="shared" si="654"/>
        <v>67547</v>
      </c>
      <c r="N380" s="123">
        <f t="shared" si="654"/>
        <v>0</v>
      </c>
      <c r="O380" s="635">
        <f t="shared" si="654"/>
        <v>11.41</v>
      </c>
      <c r="P380" s="125">
        <f t="shared" si="654"/>
        <v>0</v>
      </c>
      <c r="Q380" s="123">
        <f t="shared" si="654"/>
        <v>0</v>
      </c>
      <c r="R380" s="123">
        <f t="shared" si="654"/>
        <v>0</v>
      </c>
      <c r="S380" s="123">
        <f t="shared" si="654"/>
        <v>0</v>
      </c>
      <c r="T380" s="123">
        <f t="shared" si="654"/>
        <v>0</v>
      </c>
      <c r="U380" s="123">
        <f t="shared" si="654"/>
        <v>0</v>
      </c>
      <c r="V380" s="123">
        <f t="shared" si="654"/>
        <v>0</v>
      </c>
      <c r="W380" s="123">
        <f t="shared" si="654"/>
        <v>0</v>
      </c>
      <c r="X380" s="123">
        <f t="shared" si="654"/>
        <v>0</v>
      </c>
      <c r="Y380" s="123">
        <f t="shared" si="654"/>
        <v>0</v>
      </c>
      <c r="Z380" s="123">
        <f t="shared" si="654"/>
        <v>0</v>
      </c>
      <c r="AA380" s="123">
        <f t="shared" si="654"/>
        <v>0</v>
      </c>
      <c r="AB380" s="123">
        <f t="shared" si="654"/>
        <v>0</v>
      </c>
      <c r="AC380" s="123">
        <f t="shared" si="654"/>
        <v>0</v>
      </c>
      <c r="AD380" s="123">
        <f t="shared" si="654"/>
        <v>0</v>
      </c>
      <c r="AE380" s="627">
        <f t="shared" si="654"/>
        <v>0</v>
      </c>
      <c r="AF380" s="634">
        <f t="shared" si="654"/>
        <v>0</v>
      </c>
      <c r="AG380" s="124">
        <f t="shared" si="654"/>
        <v>0</v>
      </c>
      <c r="AH380" s="124">
        <f t="shared" si="654"/>
        <v>0</v>
      </c>
      <c r="AI380" s="124">
        <f t="shared" si="654"/>
        <v>0</v>
      </c>
      <c r="AJ380" s="124">
        <f t="shared" si="654"/>
        <v>0</v>
      </c>
      <c r="AK380" s="124">
        <f t="shared" si="654"/>
        <v>0</v>
      </c>
      <c r="AL380" s="635">
        <f t="shared" si="654"/>
        <v>0</v>
      </c>
      <c r="AM380" s="122">
        <f t="shared" si="654"/>
        <v>10175741</v>
      </c>
      <c r="AN380" s="123">
        <f t="shared" si="654"/>
        <v>6754704</v>
      </c>
      <c r="AO380" s="123">
        <f t="shared" si="654"/>
        <v>800000</v>
      </c>
      <c r="AP380" s="123">
        <f t="shared" si="654"/>
        <v>2553490</v>
      </c>
      <c r="AQ380" s="123">
        <f t="shared" si="654"/>
        <v>67547</v>
      </c>
      <c r="AR380" s="123">
        <f t="shared" si="654"/>
        <v>0</v>
      </c>
      <c r="AS380" s="635">
        <f t="shared" si="654"/>
        <v>11.41</v>
      </c>
    </row>
    <row r="382" spans="4:45" x14ac:dyDescent="0.2">
      <c r="I382" s="835"/>
      <c r="J382" s="474"/>
      <c r="K382" s="474"/>
      <c r="L382" s="474"/>
      <c r="M382" s="474"/>
      <c r="N382" s="474"/>
      <c r="O382" s="476"/>
    </row>
    <row r="383" spans="4:45" x14ac:dyDescent="0.2">
      <c r="I383" s="835"/>
      <c r="J383" s="835"/>
      <c r="K383" s="835"/>
      <c r="L383" s="835"/>
      <c r="M383" s="835"/>
      <c r="N383" s="474"/>
      <c r="O383" s="476"/>
    </row>
    <row r="384" spans="4:45" x14ac:dyDescent="0.2">
      <c r="I384" s="474"/>
      <c r="J384" s="474"/>
      <c r="K384" s="474"/>
      <c r="L384" s="474"/>
      <c r="M384" s="474"/>
      <c r="N384" s="474"/>
      <c r="O384" s="476"/>
    </row>
    <row r="430" spans="5:16" x14ac:dyDescent="0.2">
      <c r="E430" s="475"/>
      <c r="F430" s="475"/>
      <c r="G430" s="475"/>
      <c r="H430" s="475"/>
      <c r="J430" s="475"/>
      <c r="K430" s="475"/>
      <c r="L430" s="475"/>
      <c r="M430" s="475"/>
      <c r="N430" s="475"/>
      <c r="O430" s="682"/>
      <c r="P430" s="475"/>
    </row>
    <row r="431" spans="5:16" x14ac:dyDescent="0.2">
      <c r="E431" s="475"/>
      <c r="F431" s="475"/>
      <c r="G431" s="475"/>
      <c r="H431" s="475"/>
      <c r="J431" s="475"/>
      <c r="K431" s="475"/>
      <c r="L431" s="475"/>
      <c r="M431" s="475"/>
      <c r="N431" s="475"/>
      <c r="O431" s="682"/>
      <c r="P431" s="475"/>
    </row>
    <row r="432" spans="5:16" x14ac:dyDescent="0.2">
      <c r="E432" s="475"/>
      <c r="F432" s="475"/>
      <c r="G432" s="475"/>
      <c r="H432" s="475"/>
      <c r="J432" s="475"/>
      <c r="K432" s="475"/>
      <c r="L432" s="475"/>
      <c r="M432" s="475"/>
      <c r="N432" s="475"/>
      <c r="O432" s="682"/>
      <c r="P432" s="475"/>
    </row>
    <row r="433" spans="5:18" x14ac:dyDescent="0.2">
      <c r="E433" s="475"/>
      <c r="F433" s="475"/>
      <c r="G433" s="475"/>
      <c r="H433" s="475"/>
      <c r="J433" s="475"/>
      <c r="K433" s="475"/>
      <c r="L433" s="475"/>
      <c r="M433" s="475"/>
      <c r="N433" s="475"/>
      <c r="O433" s="682"/>
      <c r="P433" s="475"/>
    </row>
    <row r="434" spans="5:18" x14ac:dyDescent="0.2">
      <c r="E434" s="475"/>
      <c r="F434" s="475"/>
      <c r="G434" s="475"/>
      <c r="H434" s="475"/>
      <c r="J434" s="475"/>
      <c r="K434" s="475"/>
      <c r="L434" s="475"/>
      <c r="M434" s="475"/>
      <c r="N434" s="475"/>
      <c r="O434" s="682"/>
      <c r="P434" s="475"/>
    </row>
    <row r="435" spans="5:18" x14ac:dyDescent="0.2">
      <c r="E435" s="475"/>
      <c r="F435" s="475"/>
      <c r="G435" s="475"/>
      <c r="H435" s="475"/>
      <c r="J435" s="475"/>
      <c r="K435" s="475"/>
      <c r="L435" s="475"/>
      <c r="M435" s="475"/>
      <c r="N435" s="475"/>
      <c r="O435" s="682"/>
      <c r="P435" s="475"/>
    </row>
    <row r="436" spans="5:18" x14ac:dyDescent="0.2">
      <c r="E436" s="475"/>
      <c r="F436" s="475"/>
      <c r="G436" s="475"/>
      <c r="H436" s="475"/>
      <c r="J436" s="475"/>
      <c r="K436" s="475"/>
      <c r="L436" s="475"/>
      <c r="M436" s="475"/>
      <c r="N436" s="475"/>
      <c r="O436" s="682"/>
      <c r="P436" s="475"/>
    </row>
    <row r="437" spans="5:18" x14ac:dyDescent="0.2">
      <c r="E437" s="475"/>
      <c r="F437" s="475"/>
      <c r="G437" s="475"/>
      <c r="H437" s="475"/>
      <c r="J437" s="475"/>
      <c r="K437" s="475"/>
      <c r="L437" s="475"/>
      <c r="M437" s="475"/>
      <c r="N437" s="475"/>
      <c r="O437" s="682"/>
      <c r="P437" s="475"/>
    </row>
    <row r="438" spans="5:18" x14ac:dyDescent="0.2">
      <c r="E438" s="475"/>
      <c r="F438" s="475"/>
      <c r="G438" s="475"/>
      <c r="H438" s="475"/>
      <c r="J438" s="475"/>
      <c r="K438" s="475"/>
      <c r="L438" s="475"/>
      <c r="M438" s="475"/>
      <c r="N438" s="475"/>
      <c r="O438" s="682"/>
      <c r="P438" s="475"/>
    </row>
    <row r="439" spans="5:18" x14ac:dyDescent="0.2">
      <c r="E439" s="475"/>
      <c r="F439" s="475"/>
      <c r="G439" s="475"/>
      <c r="H439" s="475"/>
      <c r="J439" s="475"/>
      <c r="K439" s="475"/>
      <c r="L439" s="475"/>
      <c r="M439" s="475"/>
      <c r="N439" s="475"/>
      <c r="O439" s="682"/>
      <c r="P439" s="475"/>
    </row>
    <row r="440" spans="5:18" x14ac:dyDescent="0.2">
      <c r="E440" s="475"/>
      <c r="F440" s="475"/>
      <c r="G440" s="475"/>
      <c r="H440" s="475"/>
      <c r="J440" s="475"/>
      <c r="K440" s="475"/>
      <c r="L440" s="475"/>
      <c r="M440" s="475"/>
      <c r="N440" s="475"/>
      <c r="O440" s="682"/>
      <c r="P440" s="475"/>
    </row>
    <row r="441" spans="5:18" x14ac:dyDescent="0.2">
      <c r="E441" s="475"/>
      <c r="F441" s="475"/>
      <c r="G441" s="475"/>
      <c r="H441" s="475"/>
      <c r="J441" s="475"/>
      <c r="K441" s="475"/>
      <c r="L441" s="475"/>
      <c r="M441" s="475"/>
      <c r="N441" s="475"/>
      <c r="O441" s="682"/>
      <c r="P441" s="475"/>
    </row>
    <row r="442" spans="5:18" x14ac:dyDescent="0.2">
      <c r="E442" s="475"/>
      <c r="F442" s="475"/>
      <c r="G442" s="475"/>
      <c r="H442" s="475"/>
      <c r="J442" s="475"/>
      <c r="K442" s="475"/>
      <c r="L442" s="475"/>
      <c r="M442" s="475"/>
      <c r="N442" s="475"/>
      <c r="O442" s="682"/>
      <c r="P442" s="475"/>
    </row>
    <row r="443" spans="5:18" x14ac:dyDescent="0.2">
      <c r="E443" s="475"/>
      <c r="F443" s="475"/>
      <c r="G443" s="475"/>
      <c r="H443" s="475"/>
      <c r="J443" s="475"/>
      <c r="K443" s="475"/>
      <c r="L443" s="475"/>
      <c r="M443" s="475"/>
      <c r="N443" s="475"/>
      <c r="O443" s="682"/>
      <c r="P443" s="475"/>
    </row>
    <row r="444" spans="5:18" x14ac:dyDescent="0.2">
      <c r="E444" s="475"/>
      <c r="F444" s="475"/>
      <c r="G444" s="475"/>
      <c r="H444" s="475"/>
      <c r="J444" s="475"/>
      <c r="K444" s="475"/>
      <c r="L444" s="475"/>
      <c r="M444" s="475"/>
      <c r="N444" s="475"/>
      <c r="O444" s="682"/>
      <c r="P444" s="475"/>
    </row>
    <row r="445" spans="5:18" x14ac:dyDescent="0.2">
      <c r="E445" s="475"/>
      <c r="F445" s="475"/>
      <c r="G445" s="475"/>
      <c r="H445" s="475"/>
      <c r="J445" s="475"/>
      <c r="K445" s="475"/>
      <c r="L445" s="475"/>
      <c r="M445" s="475"/>
      <c r="N445" s="475"/>
      <c r="O445" s="682"/>
      <c r="P445" s="475"/>
    </row>
    <row r="447" spans="5:18" x14ac:dyDescent="0.2">
      <c r="E447" s="475"/>
      <c r="F447" s="475"/>
      <c r="G447" s="475"/>
      <c r="H447" s="475"/>
      <c r="J447" s="475"/>
      <c r="K447" s="475"/>
      <c r="L447" s="475"/>
      <c r="M447" s="475"/>
      <c r="N447" s="475"/>
      <c r="O447" s="682"/>
      <c r="P447" s="475"/>
      <c r="Q447" s="475"/>
      <c r="R447" s="475"/>
    </row>
    <row r="448" spans="5:18" x14ac:dyDescent="0.2">
      <c r="E448" s="475"/>
      <c r="F448" s="475"/>
      <c r="G448" s="475"/>
      <c r="H448" s="475"/>
      <c r="J448" s="475"/>
      <c r="K448" s="475"/>
      <c r="L448" s="475"/>
      <c r="M448" s="475"/>
      <c r="N448" s="475"/>
      <c r="O448" s="682"/>
      <c r="P448" s="475"/>
      <c r="Q448" s="475"/>
      <c r="R448" s="475"/>
    </row>
    <row r="449" spans="5:18" x14ac:dyDescent="0.2">
      <c r="E449" s="475"/>
      <c r="F449" s="475"/>
      <c r="G449" s="475"/>
      <c r="H449" s="475"/>
      <c r="J449" s="475"/>
      <c r="K449" s="475"/>
      <c r="L449" s="475"/>
      <c r="M449" s="475"/>
      <c r="N449" s="475"/>
      <c r="O449" s="682"/>
      <c r="P449" s="475"/>
      <c r="Q449" s="475"/>
      <c r="R449" s="475"/>
    </row>
    <row r="450" spans="5:18" x14ac:dyDescent="0.2">
      <c r="E450" s="475"/>
      <c r="F450" s="475"/>
      <c r="G450" s="475"/>
      <c r="H450" s="475"/>
      <c r="J450" s="475"/>
      <c r="K450" s="475"/>
      <c r="L450" s="475"/>
      <c r="M450" s="475"/>
      <c r="N450" s="475"/>
      <c r="O450" s="682"/>
      <c r="P450" s="475"/>
      <c r="Q450" s="475"/>
      <c r="R450" s="475"/>
    </row>
    <row r="451" spans="5:18" x14ac:dyDescent="0.2">
      <c r="E451" s="475"/>
      <c r="F451" s="475"/>
      <c r="G451" s="475"/>
      <c r="H451" s="475"/>
      <c r="J451" s="475"/>
      <c r="K451" s="475"/>
      <c r="L451" s="475"/>
      <c r="M451" s="475"/>
      <c r="N451" s="475"/>
      <c r="O451" s="682"/>
      <c r="P451" s="475"/>
      <c r="Q451" s="475"/>
      <c r="R451" s="475"/>
    </row>
    <row r="452" spans="5:18" x14ac:dyDescent="0.2">
      <c r="E452" s="475"/>
      <c r="F452" s="475"/>
      <c r="G452" s="475"/>
      <c r="H452" s="475"/>
      <c r="J452" s="475"/>
      <c r="K452" s="475"/>
      <c r="L452" s="475"/>
      <c r="M452" s="475"/>
      <c r="N452" s="475"/>
      <c r="O452" s="682"/>
      <c r="P452" s="475"/>
      <c r="Q452" s="475"/>
      <c r="R452" s="475"/>
    </row>
    <row r="453" spans="5:18" x14ac:dyDescent="0.2">
      <c r="E453" s="475"/>
      <c r="F453" s="475"/>
      <c r="G453" s="475"/>
      <c r="H453" s="475"/>
      <c r="J453" s="475"/>
      <c r="K453" s="475"/>
      <c r="L453" s="475"/>
      <c r="M453" s="475"/>
      <c r="N453" s="475"/>
      <c r="O453" s="682"/>
      <c r="P453" s="475"/>
      <c r="Q453" s="475"/>
      <c r="R453" s="475"/>
    </row>
    <row r="454" spans="5:18" x14ac:dyDescent="0.2">
      <c r="E454" s="475"/>
      <c r="F454" s="475"/>
      <c r="G454" s="475"/>
      <c r="H454" s="475"/>
      <c r="J454" s="475"/>
      <c r="K454" s="475"/>
      <c r="L454" s="475"/>
      <c r="M454" s="475"/>
      <c r="N454" s="475"/>
      <c r="O454" s="682"/>
      <c r="P454" s="475"/>
      <c r="Q454" s="475"/>
      <c r="R454" s="475"/>
    </row>
    <row r="455" spans="5:18" x14ac:dyDescent="0.2">
      <c r="E455" s="475"/>
      <c r="F455" s="475"/>
      <c r="G455" s="475"/>
      <c r="H455" s="475"/>
      <c r="J455" s="475"/>
      <c r="K455" s="475"/>
      <c r="L455" s="475"/>
      <c r="M455" s="475"/>
      <c r="N455" s="475"/>
      <c r="O455" s="682"/>
      <c r="P455" s="475"/>
      <c r="Q455" s="475"/>
      <c r="R455" s="475"/>
    </row>
    <row r="456" spans="5:18" x14ac:dyDescent="0.2">
      <c r="E456" s="475"/>
      <c r="F456" s="475"/>
      <c r="G456" s="475"/>
      <c r="H456" s="475"/>
      <c r="J456" s="475"/>
      <c r="K456" s="475"/>
      <c r="L456" s="475"/>
      <c r="M456" s="475"/>
      <c r="N456" s="475"/>
      <c r="O456" s="682"/>
      <c r="P456" s="475"/>
      <c r="Q456" s="475"/>
      <c r="R456" s="475"/>
    </row>
    <row r="457" spans="5:18" x14ac:dyDescent="0.2">
      <c r="E457" s="475"/>
      <c r="F457" s="475"/>
      <c r="G457" s="475"/>
      <c r="H457" s="475"/>
      <c r="J457" s="475"/>
      <c r="K457" s="475"/>
      <c r="L457" s="475"/>
      <c r="M457" s="475"/>
      <c r="N457" s="475"/>
      <c r="O457" s="682"/>
      <c r="P457" s="475"/>
      <c r="Q457" s="475"/>
      <c r="R457" s="475"/>
    </row>
    <row r="458" spans="5:18" x14ac:dyDescent="0.2">
      <c r="E458" s="475"/>
      <c r="F458" s="475"/>
      <c r="G458" s="475"/>
      <c r="H458" s="475"/>
      <c r="J458" s="475"/>
      <c r="K458" s="475"/>
      <c r="L458" s="475"/>
      <c r="M458" s="475"/>
      <c r="N458" s="475"/>
      <c r="O458" s="682"/>
      <c r="P458" s="475"/>
      <c r="Q458" s="475"/>
      <c r="R458" s="475"/>
    </row>
    <row r="459" spans="5:18" x14ac:dyDescent="0.2">
      <c r="E459" s="475"/>
      <c r="F459" s="475"/>
      <c r="G459" s="475"/>
      <c r="H459" s="475"/>
      <c r="J459" s="475"/>
      <c r="K459" s="475"/>
      <c r="L459" s="475"/>
      <c r="M459" s="475"/>
      <c r="N459" s="475"/>
      <c r="O459" s="682"/>
      <c r="P459" s="475"/>
      <c r="Q459" s="475"/>
      <c r="R459" s="475"/>
    </row>
    <row r="460" spans="5:18" x14ac:dyDescent="0.2">
      <c r="E460" s="475"/>
      <c r="F460" s="475"/>
      <c r="G460" s="475"/>
      <c r="H460" s="475"/>
      <c r="J460" s="475"/>
      <c r="K460" s="475"/>
      <c r="L460" s="475"/>
      <c r="M460" s="475"/>
      <c r="N460" s="475"/>
      <c r="O460" s="682"/>
      <c r="P460" s="475"/>
      <c r="Q460" s="475"/>
      <c r="R460" s="475"/>
    </row>
    <row r="461" spans="5:18" x14ac:dyDescent="0.2">
      <c r="E461" s="475"/>
      <c r="F461" s="475"/>
      <c r="G461" s="475"/>
      <c r="H461" s="475"/>
      <c r="J461" s="475"/>
      <c r="K461" s="475"/>
      <c r="L461" s="475"/>
      <c r="M461" s="475"/>
      <c r="N461" s="475"/>
      <c r="O461" s="682"/>
      <c r="P461" s="475"/>
      <c r="Q461" s="475"/>
      <c r="R461" s="475"/>
    </row>
    <row r="462" spans="5:18" x14ac:dyDescent="0.2">
      <c r="E462" s="475"/>
      <c r="F462" s="475"/>
      <c r="G462" s="475"/>
      <c r="H462" s="475"/>
      <c r="J462" s="475"/>
      <c r="K462" s="475"/>
      <c r="L462" s="475"/>
      <c r="M462" s="475"/>
      <c r="N462" s="475"/>
      <c r="O462" s="682"/>
      <c r="P462" s="475"/>
      <c r="Q462" s="475"/>
      <c r="R462" s="475"/>
    </row>
    <row r="463" spans="5:18" x14ac:dyDescent="0.2">
      <c r="E463" s="475"/>
      <c r="F463" s="475"/>
      <c r="G463" s="475"/>
      <c r="H463" s="475"/>
      <c r="J463" s="475"/>
      <c r="K463" s="475"/>
      <c r="L463" s="475"/>
      <c r="M463" s="475"/>
      <c r="N463" s="475"/>
      <c r="O463" s="682"/>
      <c r="P463" s="475"/>
      <c r="Q463" s="475"/>
      <c r="R463" s="475"/>
    </row>
    <row r="464" spans="5:18" x14ac:dyDescent="0.2">
      <c r="E464" s="475"/>
      <c r="F464" s="475"/>
      <c r="G464" s="475"/>
      <c r="H464" s="475"/>
      <c r="J464" s="475"/>
      <c r="K464" s="475"/>
      <c r="L464" s="475"/>
      <c r="M464" s="475"/>
      <c r="N464" s="475"/>
      <c r="O464" s="682"/>
      <c r="P464" s="475"/>
      <c r="Q464" s="475"/>
      <c r="R464" s="475"/>
    </row>
    <row r="465" spans="5:18" x14ac:dyDescent="0.2">
      <c r="E465" s="475"/>
      <c r="F465" s="475"/>
      <c r="G465" s="475"/>
      <c r="H465" s="475"/>
      <c r="J465" s="475"/>
      <c r="K465" s="475"/>
      <c r="L465" s="475"/>
      <c r="M465" s="475"/>
      <c r="N465" s="475"/>
      <c r="O465" s="682"/>
      <c r="P465" s="475"/>
      <c r="Q465" s="475"/>
      <c r="R465" s="475"/>
    </row>
    <row r="466" spans="5:18" x14ac:dyDescent="0.2">
      <c r="E466" s="475"/>
      <c r="F466" s="475"/>
      <c r="G466" s="475"/>
      <c r="H466" s="475"/>
      <c r="J466" s="475"/>
      <c r="K466" s="475"/>
      <c r="L466" s="475"/>
      <c r="M466" s="475"/>
      <c r="N466" s="475"/>
      <c r="O466" s="682"/>
      <c r="P466" s="475"/>
      <c r="Q466" s="475"/>
      <c r="R466" s="475"/>
    </row>
    <row r="468" spans="5:18" ht="15" customHeight="1" x14ac:dyDescent="0.2"/>
  </sheetData>
  <mergeCells count="45">
    <mergeCell ref="AH8:AH10"/>
    <mergeCell ref="O8:O10"/>
    <mergeCell ref="AM6:AS7"/>
    <mergeCell ref="AS8:AS10"/>
    <mergeCell ref="AN9:AN10"/>
    <mergeCell ref="AO9:AO10"/>
    <mergeCell ref="AN8:AQ8"/>
    <mergeCell ref="AP9:AP10"/>
    <mergeCell ref="AQ9:AQ10"/>
    <mergeCell ref="AM8:AM10"/>
    <mergeCell ref="AR9:AR10"/>
    <mergeCell ref="AG8:AG10"/>
    <mergeCell ref="I6:O7"/>
    <mergeCell ref="P6:AL6"/>
    <mergeCell ref="J8:M8"/>
    <mergeCell ref="I8:I10"/>
    <mergeCell ref="J9:J10"/>
    <mergeCell ref="L9:L10"/>
    <mergeCell ref="AA7:AA10"/>
    <mergeCell ref="W9:W10"/>
    <mergeCell ref="AD7:AD10"/>
    <mergeCell ref="M9:M10"/>
    <mergeCell ref="X9:X10"/>
    <mergeCell ref="P9:P10"/>
    <mergeCell ref="K9:K10"/>
    <mergeCell ref="V9:V10"/>
    <mergeCell ref="N9:N10"/>
    <mergeCell ref="AC7:AC10"/>
    <mergeCell ref="R9:R10"/>
    <mergeCell ref="AF7:AL7"/>
    <mergeCell ref="P7:V8"/>
    <mergeCell ref="Z9:Z10"/>
    <mergeCell ref="W7:Z8"/>
    <mergeCell ref="AF8:AF10"/>
    <mergeCell ref="AB7:AB10"/>
    <mergeCell ref="S9:S10"/>
    <mergeCell ref="U9:U10"/>
    <mergeCell ref="T9:T10"/>
    <mergeCell ref="Q9:Q10"/>
    <mergeCell ref="AJ8:AJ10"/>
    <mergeCell ref="AK8:AK10"/>
    <mergeCell ref="Y9:Y10"/>
    <mergeCell ref="AL8:AL10"/>
    <mergeCell ref="AI8:AI10"/>
    <mergeCell ref="AE7:AE10"/>
  </mergeCells>
  <printOptions horizontalCentered="1"/>
  <pageMargins left="0.19685039370078741" right="0.19685039370078741" top="0.78740157480314965" bottom="0.78740157480314965" header="0.31496062992125984" footer="0.31496062992125984"/>
  <pageSetup paperSize="8" scale="85" fitToWidth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S154"/>
  <sheetViews>
    <sheetView zoomScaleNormal="100" workbookViewId="0">
      <pane xSplit="8" ySplit="11" topLeftCell="AB94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ColWidth="9.140625" defaultRowHeight="15" x14ac:dyDescent="0.25"/>
  <cols>
    <col min="1" max="1" width="5" style="61" customWidth="1"/>
    <col min="2" max="2" width="4.7109375" style="60" bestFit="1" customWidth="1"/>
    <col min="3" max="3" width="8.7109375" style="60" customWidth="1"/>
    <col min="4" max="4" width="7.85546875" style="60" customWidth="1"/>
    <col min="5" max="5" width="30.85546875" style="61" customWidth="1"/>
    <col min="6" max="6" width="4.42578125" style="61" customWidth="1"/>
    <col min="7" max="7" width="10.28515625" style="61" customWidth="1"/>
    <col min="8" max="8" width="8" style="61" customWidth="1"/>
    <col min="9" max="9" width="12" style="167" customWidth="1"/>
    <col min="10" max="11" width="11.28515625" style="167" customWidth="1"/>
    <col min="12" max="12" width="13.5703125" style="167" customWidth="1"/>
    <col min="13" max="14" width="12.28515625" style="167" customWidth="1"/>
    <col min="15" max="15" width="8.7109375" style="168" customWidth="1"/>
    <col min="16" max="18" width="10.85546875" style="49" customWidth="1"/>
    <col min="19" max="19" width="10.5703125" style="49" customWidth="1"/>
    <col min="20" max="20" width="12.140625" style="49" customWidth="1"/>
    <col min="21" max="31" width="10.85546875" style="49" customWidth="1"/>
    <col min="32" max="35" width="9.28515625" style="50" customWidth="1"/>
    <col min="36" max="36" width="10.5703125" style="50" customWidth="1"/>
    <col min="37" max="37" width="10.42578125" style="50" customWidth="1"/>
    <col min="38" max="38" width="9.28515625" style="50" customWidth="1"/>
    <col min="39" max="39" width="13" style="49" customWidth="1"/>
    <col min="40" max="44" width="10.85546875" style="49" customWidth="1"/>
    <col min="45" max="45" width="10.7109375" style="50" customWidth="1"/>
    <col min="46" max="16384" width="9.140625" style="60"/>
  </cols>
  <sheetData>
    <row r="1" spans="1:45" s="471" customFormat="1" ht="12.75" x14ac:dyDescent="0.2">
      <c r="A1" s="46" t="s">
        <v>2</v>
      </c>
      <c r="B1" s="46"/>
      <c r="C1" s="38"/>
      <c r="D1" s="46"/>
      <c r="E1" s="46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  <c r="AR1" s="474"/>
      <c r="AS1" s="474"/>
    </row>
    <row r="2" spans="1:45" ht="12.75" customHeight="1" x14ac:dyDescent="0.25">
      <c r="A2" s="46" t="s">
        <v>3</v>
      </c>
      <c r="B2" s="46"/>
      <c r="C2" s="38"/>
      <c r="D2" s="46"/>
      <c r="E2" s="46"/>
    </row>
    <row r="3" spans="1:45" ht="12.75" customHeight="1" x14ac:dyDescent="0.25">
      <c r="A3" s="40" t="s">
        <v>4</v>
      </c>
      <c r="B3" s="40"/>
      <c r="C3" s="40"/>
      <c r="D3" s="40"/>
      <c r="E3" s="40"/>
    </row>
    <row r="4" spans="1:45" ht="15" customHeight="1" x14ac:dyDescent="0.25">
      <c r="A4" s="60"/>
      <c r="B4" s="46"/>
      <c r="C4" s="46"/>
      <c r="D4" s="46"/>
      <c r="E4" s="46"/>
      <c r="Q4" s="845"/>
      <c r="AG4" s="845"/>
      <c r="AM4" s="50"/>
      <c r="AN4" s="50"/>
      <c r="AO4" s="50"/>
      <c r="AP4" s="50"/>
      <c r="AQ4" s="50"/>
      <c r="AR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I5" s="387"/>
      <c r="J5" s="387"/>
      <c r="K5" s="387"/>
      <c r="L5" s="387"/>
      <c r="M5" s="387"/>
      <c r="N5" s="387"/>
      <c r="O5" s="387"/>
      <c r="P5" s="322"/>
      <c r="Q5" s="851" t="s">
        <v>815</v>
      </c>
      <c r="S5" s="322"/>
      <c r="T5" s="322"/>
      <c r="U5" s="322"/>
      <c r="V5" s="322"/>
      <c r="W5" s="322"/>
      <c r="X5" s="322"/>
      <c r="Y5" s="322"/>
      <c r="Z5" s="322"/>
      <c r="AA5" s="322"/>
      <c r="AB5" s="322"/>
      <c r="AG5" s="851" t="s">
        <v>815</v>
      </c>
      <c r="AM5" s="50"/>
      <c r="AN5" s="50"/>
      <c r="AO5" s="50"/>
      <c r="AP5" s="50"/>
      <c r="AQ5" s="50"/>
      <c r="AR5" s="50"/>
    </row>
    <row r="6" spans="1:45" ht="15.75" customHeight="1" thickBot="1" x14ac:dyDescent="0.3">
      <c r="A6" s="390"/>
      <c r="B6" s="391"/>
      <c r="C6" s="392"/>
      <c r="D6" s="392"/>
      <c r="E6" s="391"/>
      <c r="F6" s="391"/>
      <c r="G6" s="47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A7" s="60"/>
      <c r="B7" s="5"/>
      <c r="C7"/>
      <c r="D7" s="9"/>
      <c r="E7" s="5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s="62" customFormat="1" ht="15" customHeight="1" x14ac:dyDescent="0.25">
      <c r="A8" s="87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s="63" customFormat="1" ht="19.5" customHeight="1" thickBot="1" x14ac:dyDescent="0.25">
      <c r="A9" s="86" t="s">
        <v>724</v>
      </c>
      <c r="B9"/>
      <c r="C9"/>
      <c r="D9" s="10"/>
      <c r="E9"/>
      <c r="F9" s="51"/>
      <c r="G9" s="52"/>
      <c r="H9" s="52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s="63" customFormat="1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94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258</v>
      </c>
      <c r="P11" s="533" t="s">
        <v>776</v>
      </c>
      <c r="Q11" s="532" t="s">
        <v>789</v>
      </c>
      <c r="R11" s="532" t="s">
        <v>776</v>
      </c>
      <c r="S11" s="532" t="s">
        <v>776</v>
      </c>
      <c r="T11" s="532" t="s">
        <v>789</v>
      </c>
      <c r="U11" s="532" t="s">
        <v>789</v>
      </c>
      <c r="V11" s="532" t="s">
        <v>776</v>
      </c>
      <c r="W11" s="553" t="s">
        <v>777</v>
      </c>
      <c r="X11" s="532" t="s">
        <v>777</v>
      </c>
      <c r="Y11" s="532" t="s">
        <v>777</v>
      </c>
      <c r="Z11" s="530" t="s">
        <v>777</v>
      </c>
      <c r="AA11" s="553" t="s">
        <v>775</v>
      </c>
      <c r="AB11" s="532" t="s">
        <v>273</v>
      </c>
      <c r="AC11" s="532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70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258</v>
      </c>
    </row>
    <row r="12" spans="1:45" s="67" customFormat="1" ht="14.1" customHeight="1" x14ac:dyDescent="0.2">
      <c r="A12" s="88">
        <v>1</v>
      </c>
      <c r="B12" s="56">
        <v>2314</v>
      </c>
      <c r="C12" s="64">
        <v>600080358</v>
      </c>
      <c r="D12" s="56">
        <v>46745751</v>
      </c>
      <c r="E12" s="56" t="s">
        <v>683</v>
      </c>
      <c r="F12" s="65">
        <v>3114</v>
      </c>
      <c r="G12" s="117" t="s">
        <v>511</v>
      </c>
      <c r="H12" s="66" t="s">
        <v>262</v>
      </c>
      <c r="I12" s="579">
        <v>12295833</v>
      </c>
      <c r="J12" s="434">
        <v>9121537</v>
      </c>
      <c r="K12" s="434">
        <v>0</v>
      </c>
      <c r="L12" s="434">
        <v>3083080</v>
      </c>
      <c r="M12" s="434">
        <v>91216</v>
      </c>
      <c r="N12" s="434">
        <v>0</v>
      </c>
      <c r="O12" s="697">
        <v>11.9346</v>
      </c>
      <c r="P12" s="691">
        <f>W12*-1</f>
        <v>0</v>
      </c>
      <c r="Q12" s="523">
        <v>0</v>
      </c>
      <c r="R12" s="523">
        <v>0</v>
      </c>
      <c r="S12" s="523">
        <v>0</v>
      </c>
      <c r="T12" s="523">
        <v>0</v>
      </c>
      <c r="U12" s="523">
        <v>0</v>
      </c>
      <c r="V12" s="523">
        <f>P12+Q12+R12+S12+T12+U12</f>
        <v>0</v>
      </c>
      <c r="W12" s="523">
        <v>0</v>
      </c>
      <c r="X12" s="523">
        <v>0</v>
      </c>
      <c r="Y12" s="523">
        <v>0</v>
      </c>
      <c r="Z12" s="523">
        <f>W12+X12+Y12</f>
        <v>0</v>
      </c>
      <c r="AA12" s="523">
        <f>V12+Z12</f>
        <v>0</v>
      </c>
      <c r="AB12" s="621">
        <f>ROUND((V12+Z12)*33.8%,0)</f>
        <v>0</v>
      </c>
      <c r="AC12" s="621">
        <f>ROUND(V12*1%,0)</f>
        <v>0</v>
      </c>
      <c r="AD12" s="14">
        <v>0</v>
      </c>
      <c r="AE12" s="605">
        <f>AA12+AB12+AC12+AD12</f>
        <v>0</v>
      </c>
      <c r="AF12" s="607">
        <v>0</v>
      </c>
      <c r="AG12" s="522">
        <v>0</v>
      </c>
      <c r="AH12" s="522">
        <v>0</v>
      </c>
      <c r="AI12" s="522">
        <v>0</v>
      </c>
      <c r="AJ12" s="522">
        <v>0</v>
      </c>
      <c r="AK12" s="522">
        <v>0</v>
      </c>
      <c r="AL12" s="879">
        <f>SUM(AF12:AK12)</f>
        <v>0</v>
      </c>
      <c r="AM12" s="620">
        <f>I12+AE12</f>
        <v>12295833</v>
      </c>
      <c r="AN12" s="523">
        <f>J12+V12</f>
        <v>9121537</v>
      </c>
      <c r="AO12" s="523">
        <f>K12+Z12</f>
        <v>0</v>
      </c>
      <c r="AP12" s="523">
        <f>L12+AB12</f>
        <v>3083080</v>
      </c>
      <c r="AQ12" s="523">
        <f>M12+AC12</f>
        <v>91216</v>
      </c>
      <c r="AR12" s="523">
        <f>N12+AD12</f>
        <v>0</v>
      </c>
      <c r="AS12" s="608">
        <f>O12+AL12</f>
        <v>11.9346</v>
      </c>
    </row>
    <row r="13" spans="1:45" s="67" customFormat="1" ht="14.1" customHeight="1" x14ac:dyDescent="0.2">
      <c r="A13" s="88">
        <v>1</v>
      </c>
      <c r="B13" s="56">
        <v>2314</v>
      </c>
      <c r="C13" s="64">
        <v>600080358</v>
      </c>
      <c r="D13" s="56">
        <v>46745751</v>
      </c>
      <c r="E13" s="56" t="s">
        <v>683</v>
      </c>
      <c r="F13" s="65">
        <v>3114</v>
      </c>
      <c r="G13" s="39" t="s">
        <v>279</v>
      </c>
      <c r="H13" s="66" t="s">
        <v>262</v>
      </c>
      <c r="I13" s="580">
        <v>3560961</v>
      </c>
      <c r="J13" s="14">
        <v>2641663</v>
      </c>
      <c r="K13" s="14">
        <v>0</v>
      </c>
      <c r="L13" s="14">
        <v>892882</v>
      </c>
      <c r="M13" s="14">
        <v>26416</v>
      </c>
      <c r="N13" s="14">
        <v>0</v>
      </c>
      <c r="O13" s="633">
        <v>6.4447999999999999</v>
      </c>
      <c r="P13" s="440">
        <f t="shared" ref="P13:P59" si="0">W13*-1</f>
        <v>0</v>
      </c>
      <c r="Q13" s="325">
        <v>0</v>
      </c>
      <c r="R13" s="325">
        <v>0</v>
      </c>
      <c r="S13" s="325">
        <v>0</v>
      </c>
      <c r="T13" s="325">
        <v>0</v>
      </c>
      <c r="U13" s="325">
        <v>0</v>
      </c>
      <c r="V13" s="492">
        <f>P13+Q13+R13+S13+T13+U13</f>
        <v>0</v>
      </c>
      <c r="W13" s="325">
        <v>0</v>
      </c>
      <c r="X13" s="325">
        <v>0</v>
      </c>
      <c r="Y13" s="325">
        <v>0</v>
      </c>
      <c r="Z13" s="492">
        <f t="shared" ref="Z13:Z15" si="1">W13+X13+Y13</f>
        <v>0</v>
      </c>
      <c r="AA13" s="492">
        <f t="shared" ref="AA13:AA15" si="2">V13+Z13</f>
        <v>0</v>
      </c>
      <c r="AB13" s="494">
        <f t="shared" ref="AB13:AB15" si="3">ROUND((V13+Z13)*33.8%,0)</f>
        <v>0</v>
      </c>
      <c r="AC13" s="55">
        <f>ROUND(V13*1%,0)</f>
        <v>0</v>
      </c>
      <c r="AD13" s="14">
        <v>0</v>
      </c>
      <c r="AE13" s="605">
        <f t="shared" ref="AE13:AE75" si="4">AA13+AB13+AC13+AD13</f>
        <v>0</v>
      </c>
      <c r="AF13" s="688">
        <v>0</v>
      </c>
      <c r="AG13" s="326">
        <v>0</v>
      </c>
      <c r="AH13" s="326">
        <v>0</v>
      </c>
      <c r="AI13" s="326">
        <v>0</v>
      </c>
      <c r="AJ13" s="326">
        <v>0</v>
      </c>
      <c r="AK13" s="326">
        <v>0</v>
      </c>
      <c r="AL13" s="880">
        <f>SUM(AF13:AK13)</f>
        <v>0</v>
      </c>
      <c r="AM13" s="676">
        <f>I13+AE13</f>
        <v>3560961</v>
      </c>
      <c r="AN13" s="492">
        <f>J13+V13</f>
        <v>2641663</v>
      </c>
      <c r="AO13" s="492">
        <f>K13+Z13</f>
        <v>0</v>
      </c>
      <c r="AP13" s="492">
        <f t="shared" ref="AP13:AQ15" si="5">L13+AB13</f>
        <v>892882</v>
      </c>
      <c r="AQ13" s="492">
        <f t="shared" si="5"/>
        <v>26416</v>
      </c>
      <c r="AR13" s="492">
        <f t="shared" ref="AR13:AR75" si="6">N13+AD13</f>
        <v>0</v>
      </c>
      <c r="AS13" s="609">
        <f>O13+AL13</f>
        <v>6.4447999999999999</v>
      </c>
    </row>
    <row r="14" spans="1:45" s="67" customFormat="1" ht="14.1" customHeight="1" x14ac:dyDescent="0.2">
      <c r="A14" s="88">
        <v>1</v>
      </c>
      <c r="B14" s="56">
        <v>2314</v>
      </c>
      <c r="C14" s="64">
        <v>600080358</v>
      </c>
      <c r="D14" s="56">
        <v>46745751</v>
      </c>
      <c r="E14" s="56" t="s">
        <v>683</v>
      </c>
      <c r="F14" s="65">
        <v>3114</v>
      </c>
      <c r="G14" s="39" t="s">
        <v>278</v>
      </c>
      <c r="H14" s="66" t="s">
        <v>263</v>
      </c>
      <c r="I14" s="580">
        <v>0</v>
      </c>
      <c r="J14" s="423">
        <v>0</v>
      </c>
      <c r="K14" s="423">
        <v>0</v>
      </c>
      <c r="L14" s="14">
        <v>0</v>
      </c>
      <c r="M14" s="14">
        <v>0</v>
      </c>
      <c r="N14" s="14">
        <v>0</v>
      </c>
      <c r="O14" s="698">
        <v>0</v>
      </c>
      <c r="P14" s="440">
        <f t="shared" si="0"/>
        <v>0</v>
      </c>
      <c r="Q14" s="325">
        <v>0</v>
      </c>
      <c r="R14" s="325">
        <v>0</v>
      </c>
      <c r="S14" s="325">
        <v>0</v>
      </c>
      <c r="T14" s="325">
        <v>0</v>
      </c>
      <c r="U14" s="325">
        <v>0</v>
      </c>
      <c r="V14" s="492">
        <f>P14+Q14+R14+S14+T14+U14</f>
        <v>0</v>
      </c>
      <c r="W14" s="325">
        <v>0</v>
      </c>
      <c r="X14" s="325">
        <v>0</v>
      </c>
      <c r="Y14" s="325">
        <v>0</v>
      </c>
      <c r="Z14" s="492">
        <f t="shared" si="1"/>
        <v>0</v>
      </c>
      <c r="AA14" s="492">
        <f t="shared" si="2"/>
        <v>0</v>
      </c>
      <c r="AB14" s="494">
        <f t="shared" si="3"/>
        <v>0</v>
      </c>
      <c r="AC14" s="55">
        <f>ROUND(V14*1%,0)</f>
        <v>0</v>
      </c>
      <c r="AD14" s="14">
        <v>0</v>
      </c>
      <c r="AE14" s="605">
        <f t="shared" si="4"/>
        <v>0</v>
      </c>
      <c r="AF14" s="688">
        <v>0</v>
      </c>
      <c r="AG14" s="326">
        <v>0</v>
      </c>
      <c r="AH14" s="326">
        <v>0</v>
      </c>
      <c r="AI14" s="326">
        <v>0</v>
      </c>
      <c r="AJ14" s="326">
        <v>0</v>
      </c>
      <c r="AK14" s="326">
        <v>0</v>
      </c>
      <c r="AL14" s="880">
        <f>SUM(AF14:AK14)</f>
        <v>0</v>
      </c>
      <c r="AM14" s="676">
        <f>I14+AE14</f>
        <v>0</v>
      </c>
      <c r="AN14" s="492">
        <f>J14+V14</f>
        <v>0</v>
      </c>
      <c r="AO14" s="492">
        <f t="shared" ref="AO14:AO15" si="7">K14+Z14</f>
        <v>0</v>
      </c>
      <c r="AP14" s="492">
        <f t="shared" si="5"/>
        <v>0</v>
      </c>
      <c r="AQ14" s="492">
        <f t="shared" si="5"/>
        <v>0</v>
      </c>
      <c r="AR14" s="492">
        <f t="shared" si="6"/>
        <v>0</v>
      </c>
      <c r="AS14" s="609">
        <f>O14+AL14</f>
        <v>0</v>
      </c>
    </row>
    <row r="15" spans="1:45" s="67" customFormat="1" ht="14.1" customHeight="1" x14ac:dyDescent="0.2">
      <c r="A15" s="88">
        <v>1</v>
      </c>
      <c r="B15" s="56">
        <v>2314</v>
      </c>
      <c r="C15" s="64">
        <v>600080358</v>
      </c>
      <c r="D15" s="56">
        <v>46745751</v>
      </c>
      <c r="E15" s="56" t="s">
        <v>683</v>
      </c>
      <c r="F15" s="65">
        <v>3143</v>
      </c>
      <c r="G15" s="56" t="s">
        <v>794</v>
      </c>
      <c r="H15" s="66" t="s">
        <v>262</v>
      </c>
      <c r="I15" s="580">
        <v>852847</v>
      </c>
      <c r="J15" s="14">
        <v>632676</v>
      </c>
      <c r="K15" s="14">
        <v>0</v>
      </c>
      <c r="L15" s="14">
        <v>213844</v>
      </c>
      <c r="M15" s="14">
        <v>6327</v>
      </c>
      <c r="N15" s="14">
        <v>0</v>
      </c>
      <c r="O15" s="633">
        <v>1.3214999999999999</v>
      </c>
      <c r="P15" s="440">
        <f t="shared" si="0"/>
        <v>0</v>
      </c>
      <c r="Q15" s="325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>P15+Q15+R15+S15+T15+U15</f>
        <v>0</v>
      </c>
      <c r="W15" s="325">
        <v>0</v>
      </c>
      <c r="X15" s="325">
        <v>0</v>
      </c>
      <c r="Y15" s="325">
        <v>0</v>
      </c>
      <c r="Z15" s="492">
        <f t="shared" si="1"/>
        <v>0</v>
      </c>
      <c r="AA15" s="492">
        <f t="shared" si="2"/>
        <v>0</v>
      </c>
      <c r="AB15" s="494">
        <f t="shared" si="3"/>
        <v>0</v>
      </c>
      <c r="AC15" s="55">
        <f>ROUND(V15*1%,0)</f>
        <v>0</v>
      </c>
      <c r="AD15" s="14">
        <v>0</v>
      </c>
      <c r="AE15" s="605">
        <f t="shared" si="4"/>
        <v>0</v>
      </c>
      <c r="AF15" s="688">
        <v>0</v>
      </c>
      <c r="AG15" s="326">
        <v>0</v>
      </c>
      <c r="AH15" s="326">
        <v>0</v>
      </c>
      <c r="AI15" s="326">
        <v>0</v>
      </c>
      <c r="AJ15" s="326">
        <v>0</v>
      </c>
      <c r="AK15" s="326">
        <v>0</v>
      </c>
      <c r="AL15" s="880">
        <f>SUM(AF15:AK15)</f>
        <v>0</v>
      </c>
      <c r="AM15" s="676">
        <f>I15+AE15</f>
        <v>852847</v>
      </c>
      <c r="AN15" s="492">
        <f>J15+V15</f>
        <v>632676</v>
      </c>
      <c r="AO15" s="492">
        <f t="shared" si="7"/>
        <v>0</v>
      </c>
      <c r="AP15" s="492">
        <f t="shared" si="5"/>
        <v>213844</v>
      </c>
      <c r="AQ15" s="492">
        <f t="shared" si="5"/>
        <v>6327</v>
      </c>
      <c r="AR15" s="492">
        <f t="shared" si="6"/>
        <v>0</v>
      </c>
      <c r="AS15" s="609">
        <f>O15+AL15</f>
        <v>1.3214999999999999</v>
      </c>
    </row>
    <row r="16" spans="1:45" s="67" customFormat="1" ht="14.1" customHeight="1" x14ac:dyDescent="0.2">
      <c r="A16" s="89">
        <v>1</v>
      </c>
      <c r="B16" s="68">
        <v>2314</v>
      </c>
      <c r="C16" s="69">
        <v>600080358</v>
      </c>
      <c r="D16" s="68">
        <v>46745751</v>
      </c>
      <c r="E16" s="68" t="s">
        <v>684</v>
      </c>
      <c r="F16" s="70"/>
      <c r="G16" s="71"/>
      <c r="H16" s="72"/>
      <c r="I16" s="581">
        <v>16709641</v>
      </c>
      <c r="J16" s="334">
        <v>12395876</v>
      </c>
      <c r="K16" s="334">
        <v>0</v>
      </c>
      <c r="L16" s="334">
        <v>4189806</v>
      </c>
      <c r="M16" s="334">
        <v>123959</v>
      </c>
      <c r="N16" s="334">
        <v>0</v>
      </c>
      <c r="O16" s="74">
        <v>19.700900000000001</v>
      </c>
      <c r="P16" s="692">
        <f t="shared" ref="P16:Z16" si="8">SUM(P12:P15)</f>
        <v>0</v>
      </c>
      <c r="Q16" s="334">
        <f t="shared" si="8"/>
        <v>0</v>
      </c>
      <c r="R16" s="334">
        <f t="shared" si="8"/>
        <v>0</v>
      </c>
      <c r="S16" s="334">
        <f t="shared" si="8"/>
        <v>0</v>
      </c>
      <c r="T16" s="334">
        <f t="shared" si="8"/>
        <v>0</v>
      </c>
      <c r="U16" s="334">
        <f t="shared" si="8"/>
        <v>0</v>
      </c>
      <c r="V16" s="334">
        <f t="shared" si="8"/>
        <v>0</v>
      </c>
      <c r="W16" s="334">
        <f t="shared" si="8"/>
        <v>0</v>
      </c>
      <c r="X16" s="334">
        <f t="shared" si="8"/>
        <v>0</v>
      </c>
      <c r="Y16" s="334">
        <f t="shared" si="8"/>
        <v>0</v>
      </c>
      <c r="Z16" s="334">
        <f t="shared" si="8"/>
        <v>0</v>
      </c>
      <c r="AA16" s="334">
        <f t="shared" ref="AA16:AS16" si="9">SUM(AA12:AA15)</f>
        <v>0</v>
      </c>
      <c r="AB16" s="334">
        <f t="shared" si="9"/>
        <v>0</v>
      </c>
      <c r="AC16" s="334">
        <f t="shared" si="9"/>
        <v>0</v>
      </c>
      <c r="AD16" s="334">
        <f t="shared" si="9"/>
        <v>0</v>
      </c>
      <c r="AE16" s="685">
        <f t="shared" si="9"/>
        <v>0</v>
      </c>
      <c r="AF16" s="689">
        <f t="shared" si="9"/>
        <v>0</v>
      </c>
      <c r="AG16" s="335">
        <f t="shared" si="9"/>
        <v>0</v>
      </c>
      <c r="AH16" s="335">
        <f t="shared" si="9"/>
        <v>0</v>
      </c>
      <c r="AI16" s="335">
        <f t="shared" si="9"/>
        <v>0</v>
      </c>
      <c r="AJ16" s="335">
        <f t="shared" si="9"/>
        <v>0</v>
      </c>
      <c r="AK16" s="335">
        <f t="shared" si="9"/>
        <v>0</v>
      </c>
      <c r="AL16" s="881">
        <f t="shared" si="9"/>
        <v>0</v>
      </c>
      <c r="AM16" s="581">
        <f t="shared" si="9"/>
        <v>16709641</v>
      </c>
      <c r="AN16" s="334">
        <f t="shared" si="9"/>
        <v>12395876</v>
      </c>
      <c r="AO16" s="334">
        <f t="shared" si="9"/>
        <v>0</v>
      </c>
      <c r="AP16" s="334">
        <f t="shared" si="9"/>
        <v>4189806</v>
      </c>
      <c r="AQ16" s="334">
        <f t="shared" si="9"/>
        <v>123959</v>
      </c>
      <c r="AR16" s="334">
        <f t="shared" si="9"/>
        <v>0</v>
      </c>
      <c r="AS16" s="74">
        <f t="shared" si="9"/>
        <v>19.700900000000001</v>
      </c>
    </row>
    <row r="17" spans="1:45" s="67" customFormat="1" ht="14.1" customHeight="1" x14ac:dyDescent="0.2">
      <c r="A17" s="88">
        <v>2</v>
      </c>
      <c r="B17" s="73">
        <v>2448</v>
      </c>
      <c r="C17" s="64">
        <v>600080269</v>
      </c>
      <c r="D17" s="56">
        <v>63154617</v>
      </c>
      <c r="E17" s="56" t="s">
        <v>685</v>
      </c>
      <c r="F17" s="65">
        <v>3111</v>
      </c>
      <c r="G17" s="56" t="s">
        <v>277</v>
      </c>
      <c r="H17" s="66" t="s">
        <v>262</v>
      </c>
      <c r="I17" s="580">
        <v>17049988</v>
      </c>
      <c r="J17" s="14">
        <v>12588804</v>
      </c>
      <c r="K17" s="14">
        <v>60000</v>
      </c>
      <c r="L17" s="14">
        <v>4275296</v>
      </c>
      <c r="M17" s="14">
        <v>125888</v>
      </c>
      <c r="N17" s="14">
        <v>0</v>
      </c>
      <c r="O17" s="633">
        <v>20.61</v>
      </c>
      <c r="P17" s="440">
        <f t="shared" si="0"/>
        <v>-40000</v>
      </c>
      <c r="Q17" s="325">
        <v>0</v>
      </c>
      <c r="R17" s="325">
        <v>0</v>
      </c>
      <c r="S17" s="325">
        <v>0</v>
      </c>
      <c r="T17" s="325">
        <v>0</v>
      </c>
      <c r="U17" s="325">
        <v>0</v>
      </c>
      <c r="V17" s="492">
        <f t="shared" ref="V17:V23" si="10">P17+Q17+R17+S17+T17+U17</f>
        <v>-40000</v>
      </c>
      <c r="W17" s="325">
        <v>40000</v>
      </c>
      <c r="X17" s="325">
        <v>0</v>
      </c>
      <c r="Y17" s="325">
        <v>0</v>
      </c>
      <c r="Z17" s="492">
        <f t="shared" ref="Z17:Z23" si="11">W17+X17+Y17</f>
        <v>40000</v>
      </c>
      <c r="AA17" s="492">
        <f t="shared" ref="AA17:AA23" si="12">V17+Z17</f>
        <v>0</v>
      </c>
      <c r="AB17" s="494">
        <f t="shared" ref="AB17:AB23" si="13">ROUND((V17+Z17)*33.8%,0)</f>
        <v>0</v>
      </c>
      <c r="AC17" s="55">
        <f t="shared" ref="AC17:AC23" si="14">ROUND(V17*1%,0)</f>
        <v>-400</v>
      </c>
      <c r="AD17" s="14">
        <v>0</v>
      </c>
      <c r="AE17" s="605">
        <f t="shared" si="4"/>
        <v>-400</v>
      </c>
      <c r="AF17" s="688">
        <v>0</v>
      </c>
      <c r="AG17" s="326">
        <v>0</v>
      </c>
      <c r="AH17" s="326">
        <v>0</v>
      </c>
      <c r="AI17" s="326">
        <v>0</v>
      </c>
      <c r="AJ17" s="326">
        <v>0</v>
      </c>
      <c r="AK17" s="326">
        <v>0</v>
      </c>
      <c r="AL17" s="880">
        <f t="shared" ref="AL17:AL23" si="15">SUM(AF17:AK17)</f>
        <v>0</v>
      </c>
      <c r="AM17" s="676">
        <f t="shared" ref="AM17:AM23" si="16">I17+AE17</f>
        <v>17049588</v>
      </c>
      <c r="AN17" s="492">
        <f t="shared" ref="AN17:AN23" si="17">J17+V17</f>
        <v>12548804</v>
      </c>
      <c r="AO17" s="492">
        <f t="shared" ref="AO17:AO23" si="18">K17+Z17</f>
        <v>100000</v>
      </c>
      <c r="AP17" s="492">
        <f t="shared" ref="AP17:AQ23" si="19">L17+AB17</f>
        <v>4275296</v>
      </c>
      <c r="AQ17" s="492">
        <f t="shared" si="19"/>
        <v>125488</v>
      </c>
      <c r="AR17" s="492">
        <f t="shared" si="6"/>
        <v>0</v>
      </c>
      <c r="AS17" s="609">
        <f t="shared" ref="AS17:AS23" si="20">O17+AL17</f>
        <v>20.61</v>
      </c>
    </row>
    <row r="18" spans="1:45" s="67" customFormat="1" ht="14.1" customHeight="1" x14ac:dyDescent="0.2">
      <c r="A18" s="88">
        <v>2</v>
      </c>
      <c r="B18" s="73">
        <v>2448</v>
      </c>
      <c r="C18" s="64">
        <v>600080269</v>
      </c>
      <c r="D18" s="56">
        <v>63154617</v>
      </c>
      <c r="E18" s="56" t="s">
        <v>685</v>
      </c>
      <c r="F18" s="65">
        <v>3113</v>
      </c>
      <c r="G18" s="56" t="s">
        <v>280</v>
      </c>
      <c r="H18" s="66" t="s">
        <v>262</v>
      </c>
      <c r="I18" s="580">
        <v>59481913</v>
      </c>
      <c r="J18" s="14">
        <v>44099248</v>
      </c>
      <c r="K18" s="14">
        <v>27000</v>
      </c>
      <c r="L18" s="14">
        <v>14914672</v>
      </c>
      <c r="M18" s="14">
        <v>440993</v>
      </c>
      <c r="N18" s="14">
        <v>0</v>
      </c>
      <c r="O18" s="633">
        <v>58.229300000000002</v>
      </c>
      <c r="P18" s="440">
        <f t="shared" si="0"/>
        <v>-18000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 t="shared" si="10"/>
        <v>-18000</v>
      </c>
      <c r="W18" s="325">
        <v>18000</v>
      </c>
      <c r="X18" s="325">
        <v>0</v>
      </c>
      <c r="Y18" s="325">
        <v>0</v>
      </c>
      <c r="Z18" s="492">
        <f t="shared" si="11"/>
        <v>18000</v>
      </c>
      <c r="AA18" s="492">
        <f t="shared" si="12"/>
        <v>0</v>
      </c>
      <c r="AB18" s="494">
        <f t="shared" si="13"/>
        <v>0</v>
      </c>
      <c r="AC18" s="55">
        <f t="shared" si="14"/>
        <v>-180</v>
      </c>
      <c r="AD18" s="14">
        <v>0</v>
      </c>
      <c r="AE18" s="605">
        <f t="shared" si="4"/>
        <v>-180</v>
      </c>
      <c r="AF18" s="688">
        <v>0</v>
      </c>
      <c r="AG18" s="326">
        <v>0</v>
      </c>
      <c r="AH18" s="326">
        <v>0</v>
      </c>
      <c r="AI18" s="326">
        <v>0</v>
      </c>
      <c r="AJ18" s="326">
        <v>0</v>
      </c>
      <c r="AK18" s="326">
        <v>0</v>
      </c>
      <c r="AL18" s="880">
        <f t="shared" si="15"/>
        <v>0</v>
      </c>
      <c r="AM18" s="676">
        <f t="shared" si="16"/>
        <v>59481733</v>
      </c>
      <c r="AN18" s="492">
        <f t="shared" si="17"/>
        <v>44081248</v>
      </c>
      <c r="AO18" s="492">
        <f t="shared" si="18"/>
        <v>45000</v>
      </c>
      <c r="AP18" s="492">
        <f t="shared" si="19"/>
        <v>14914672</v>
      </c>
      <c r="AQ18" s="492">
        <f t="shared" si="19"/>
        <v>440813</v>
      </c>
      <c r="AR18" s="492">
        <f t="shared" si="6"/>
        <v>0</v>
      </c>
      <c r="AS18" s="609">
        <f t="shared" si="20"/>
        <v>58.229300000000002</v>
      </c>
    </row>
    <row r="19" spans="1:45" s="67" customFormat="1" ht="14.1" customHeight="1" x14ac:dyDescent="0.2">
      <c r="A19" s="88">
        <v>2</v>
      </c>
      <c r="B19" s="73">
        <v>2448</v>
      </c>
      <c r="C19" s="64">
        <v>600080269</v>
      </c>
      <c r="D19" s="56">
        <v>63154617</v>
      </c>
      <c r="E19" s="56" t="s">
        <v>685</v>
      </c>
      <c r="F19" s="65">
        <v>3113</v>
      </c>
      <c r="G19" s="56" t="s">
        <v>799</v>
      </c>
      <c r="H19" s="66" t="s">
        <v>262</v>
      </c>
      <c r="I19" s="580">
        <v>1334811</v>
      </c>
      <c r="J19" s="14">
        <v>990216</v>
      </c>
      <c r="K19" s="14">
        <v>0</v>
      </c>
      <c r="L19" s="14">
        <v>334693</v>
      </c>
      <c r="M19" s="14">
        <v>9902</v>
      </c>
      <c r="N19" s="14">
        <v>0</v>
      </c>
      <c r="O19" s="633">
        <v>2</v>
      </c>
      <c r="P19" s="440">
        <f t="shared" ref="P19" si="21">W19*-1</f>
        <v>0</v>
      </c>
      <c r="Q19" s="325">
        <v>0</v>
      </c>
      <c r="R19" s="325">
        <v>0</v>
      </c>
      <c r="S19" s="325">
        <v>0</v>
      </c>
      <c r="T19" s="325">
        <v>0</v>
      </c>
      <c r="U19" s="325">
        <v>0</v>
      </c>
      <c r="V19" s="492">
        <f t="shared" ref="V19" si="22">P19+Q19+R19+S19+T19+U19</f>
        <v>0</v>
      </c>
      <c r="W19" s="325">
        <v>0</v>
      </c>
      <c r="X19" s="325">
        <v>0</v>
      </c>
      <c r="Y19" s="325">
        <v>0</v>
      </c>
      <c r="Z19" s="492">
        <f t="shared" ref="Z19" si="23">W19+X19+Y19</f>
        <v>0</v>
      </c>
      <c r="AA19" s="492">
        <f t="shared" ref="AA19" si="24">V19+Z19</f>
        <v>0</v>
      </c>
      <c r="AB19" s="494">
        <f t="shared" ref="AB19" si="25">ROUND((V19+Z19)*33.8%,0)</f>
        <v>0</v>
      </c>
      <c r="AC19" s="55">
        <f t="shared" ref="AC19" si="26">ROUND(V19*1%,0)</f>
        <v>0</v>
      </c>
      <c r="AD19" s="14">
        <v>0</v>
      </c>
      <c r="AE19" s="605">
        <f t="shared" si="4"/>
        <v>0</v>
      </c>
      <c r="AF19" s="688">
        <v>0</v>
      </c>
      <c r="AG19" s="326">
        <v>0</v>
      </c>
      <c r="AH19" s="326">
        <v>0</v>
      </c>
      <c r="AI19" s="326">
        <v>0</v>
      </c>
      <c r="AJ19" s="326">
        <v>0</v>
      </c>
      <c r="AK19" s="326">
        <v>0</v>
      </c>
      <c r="AL19" s="880">
        <f t="shared" ref="AL19" si="27">SUM(AF19:AK19)</f>
        <v>0</v>
      </c>
      <c r="AM19" s="676">
        <f t="shared" si="16"/>
        <v>1334811</v>
      </c>
      <c r="AN19" s="492">
        <f t="shared" si="17"/>
        <v>990216</v>
      </c>
      <c r="AO19" s="492">
        <f t="shared" si="18"/>
        <v>0</v>
      </c>
      <c r="AP19" s="492">
        <f t="shared" si="19"/>
        <v>334693</v>
      </c>
      <c r="AQ19" s="492">
        <f t="shared" si="19"/>
        <v>9902</v>
      </c>
      <c r="AR19" s="492">
        <f t="shared" si="6"/>
        <v>0</v>
      </c>
      <c r="AS19" s="609">
        <f t="shared" si="20"/>
        <v>2</v>
      </c>
    </row>
    <row r="20" spans="1:45" s="67" customFormat="1" ht="14.1" customHeight="1" x14ac:dyDescent="0.2">
      <c r="A20" s="88">
        <v>2</v>
      </c>
      <c r="B20" s="56">
        <v>2448</v>
      </c>
      <c r="C20" s="64">
        <v>600080269</v>
      </c>
      <c r="D20" s="56">
        <v>63154617</v>
      </c>
      <c r="E20" s="56" t="s">
        <v>685</v>
      </c>
      <c r="F20" s="65">
        <v>3113</v>
      </c>
      <c r="G20" s="56" t="s">
        <v>278</v>
      </c>
      <c r="H20" s="66" t="s">
        <v>263</v>
      </c>
      <c r="I20" s="580">
        <v>11088014</v>
      </c>
      <c r="J20" s="423">
        <v>8225530</v>
      </c>
      <c r="K20" s="423">
        <v>0</v>
      </c>
      <c r="L20" s="14">
        <v>2780229</v>
      </c>
      <c r="M20" s="14">
        <v>82255</v>
      </c>
      <c r="N20" s="14">
        <v>0</v>
      </c>
      <c r="O20" s="698">
        <v>20.450000000000003</v>
      </c>
      <c r="P20" s="440">
        <f t="shared" si="0"/>
        <v>0</v>
      </c>
      <c r="Q20" s="325">
        <v>-190156</v>
      </c>
      <c r="R20" s="325">
        <v>0</v>
      </c>
      <c r="S20" s="325">
        <v>0</v>
      </c>
      <c r="T20" s="325">
        <v>0</v>
      </c>
      <c r="U20" s="325">
        <v>0</v>
      </c>
      <c r="V20" s="492">
        <f t="shared" si="10"/>
        <v>-190156</v>
      </c>
      <c r="W20" s="325">
        <v>0</v>
      </c>
      <c r="X20" s="325">
        <v>0</v>
      </c>
      <c r="Y20" s="325">
        <v>0</v>
      </c>
      <c r="Z20" s="492">
        <f t="shared" si="11"/>
        <v>0</v>
      </c>
      <c r="AA20" s="492">
        <f t="shared" si="12"/>
        <v>-190156</v>
      </c>
      <c r="AB20" s="494">
        <f t="shared" si="13"/>
        <v>-64273</v>
      </c>
      <c r="AC20" s="55">
        <f t="shared" si="14"/>
        <v>-1902</v>
      </c>
      <c r="AD20" s="14">
        <v>0</v>
      </c>
      <c r="AE20" s="605">
        <f t="shared" si="4"/>
        <v>-256331</v>
      </c>
      <c r="AF20" s="688">
        <v>0</v>
      </c>
      <c r="AG20" s="326">
        <v>-0.48</v>
      </c>
      <c r="AH20" s="326">
        <v>0</v>
      </c>
      <c r="AI20" s="326">
        <v>0</v>
      </c>
      <c r="AJ20" s="326">
        <v>0</v>
      </c>
      <c r="AK20" s="326">
        <v>0</v>
      </c>
      <c r="AL20" s="880">
        <f t="shared" si="15"/>
        <v>-0.48</v>
      </c>
      <c r="AM20" s="676">
        <f t="shared" si="16"/>
        <v>10831683</v>
      </c>
      <c r="AN20" s="492">
        <f t="shared" si="17"/>
        <v>8035374</v>
      </c>
      <c r="AO20" s="492">
        <f t="shared" si="18"/>
        <v>0</v>
      </c>
      <c r="AP20" s="492">
        <f t="shared" si="19"/>
        <v>2715956</v>
      </c>
      <c r="AQ20" s="492">
        <f t="shared" si="19"/>
        <v>80353</v>
      </c>
      <c r="AR20" s="492">
        <f t="shared" si="6"/>
        <v>0</v>
      </c>
      <c r="AS20" s="609">
        <f t="shared" si="20"/>
        <v>19.970000000000002</v>
      </c>
    </row>
    <row r="21" spans="1:45" s="67" customFormat="1" ht="14.1" customHeight="1" x14ac:dyDescent="0.2">
      <c r="A21" s="88">
        <v>2</v>
      </c>
      <c r="B21" s="56">
        <v>2448</v>
      </c>
      <c r="C21" s="64">
        <v>600080269</v>
      </c>
      <c r="D21" s="56">
        <v>63154617</v>
      </c>
      <c r="E21" s="56" t="s">
        <v>685</v>
      </c>
      <c r="F21" s="65">
        <v>3143</v>
      </c>
      <c r="G21" s="56" t="s">
        <v>794</v>
      </c>
      <c r="H21" s="66" t="s">
        <v>262</v>
      </c>
      <c r="I21" s="580">
        <v>4663290</v>
      </c>
      <c r="J21" s="14">
        <v>3429637</v>
      </c>
      <c r="K21" s="14">
        <v>30000</v>
      </c>
      <c r="L21" s="14">
        <v>1169357</v>
      </c>
      <c r="M21" s="14">
        <v>34296</v>
      </c>
      <c r="N21" s="14">
        <v>0</v>
      </c>
      <c r="O21" s="633">
        <v>6.3</v>
      </c>
      <c r="P21" s="440">
        <f t="shared" si="0"/>
        <v>-20000</v>
      </c>
      <c r="Q21" s="325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 t="shared" si="10"/>
        <v>-20000</v>
      </c>
      <c r="W21" s="325">
        <v>20000</v>
      </c>
      <c r="X21" s="325">
        <v>0</v>
      </c>
      <c r="Y21" s="325">
        <v>0</v>
      </c>
      <c r="Z21" s="492">
        <f t="shared" si="11"/>
        <v>20000</v>
      </c>
      <c r="AA21" s="492">
        <f t="shared" si="12"/>
        <v>0</v>
      </c>
      <c r="AB21" s="494">
        <f t="shared" si="13"/>
        <v>0</v>
      </c>
      <c r="AC21" s="55">
        <f t="shared" si="14"/>
        <v>-200</v>
      </c>
      <c r="AD21" s="14">
        <v>0</v>
      </c>
      <c r="AE21" s="605">
        <f t="shared" si="4"/>
        <v>-200</v>
      </c>
      <c r="AF21" s="688">
        <v>0</v>
      </c>
      <c r="AG21" s="326">
        <v>0</v>
      </c>
      <c r="AH21" s="326">
        <v>0</v>
      </c>
      <c r="AI21" s="326">
        <v>0</v>
      </c>
      <c r="AJ21" s="326">
        <v>0</v>
      </c>
      <c r="AK21" s="326">
        <v>0</v>
      </c>
      <c r="AL21" s="880">
        <f t="shared" si="15"/>
        <v>0</v>
      </c>
      <c r="AM21" s="676">
        <f t="shared" si="16"/>
        <v>4663090</v>
      </c>
      <c r="AN21" s="492">
        <f t="shared" si="17"/>
        <v>3409637</v>
      </c>
      <c r="AO21" s="492">
        <f t="shared" si="18"/>
        <v>50000</v>
      </c>
      <c r="AP21" s="492">
        <f t="shared" si="19"/>
        <v>1169357</v>
      </c>
      <c r="AQ21" s="492">
        <f t="shared" si="19"/>
        <v>34096</v>
      </c>
      <c r="AR21" s="492">
        <f t="shared" si="6"/>
        <v>0</v>
      </c>
      <c r="AS21" s="609">
        <f t="shared" si="20"/>
        <v>6.3</v>
      </c>
    </row>
    <row r="22" spans="1:45" s="67" customFormat="1" ht="14.1" customHeight="1" x14ac:dyDescent="0.2">
      <c r="A22" s="88">
        <v>2</v>
      </c>
      <c r="B22" s="56">
        <v>2448</v>
      </c>
      <c r="C22" s="64">
        <v>600080269</v>
      </c>
      <c r="D22" s="56">
        <v>63154617</v>
      </c>
      <c r="E22" s="56" t="s">
        <v>685</v>
      </c>
      <c r="F22" s="65">
        <v>3231</v>
      </c>
      <c r="G22" s="56" t="s">
        <v>281</v>
      </c>
      <c r="H22" s="66" t="s">
        <v>262</v>
      </c>
      <c r="I22" s="580">
        <v>9669698</v>
      </c>
      <c r="J22" s="696">
        <v>7110834</v>
      </c>
      <c r="K22" s="696">
        <v>63000</v>
      </c>
      <c r="L22" s="14">
        <v>2424756</v>
      </c>
      <c r="M22" s="14">
        <v>71108</v>
      </c>
      <c r="N22" s="14">
        <v>0</v>
      </c>
      <c r="O22" s="614">
        <v>10.653699999999999</v>
      </c>
      <c r="P22" s="440">
        <f t="shared" si="0"/>
        <v>-42000</v>
      </c>
      <c r="Q22" s="325">
        <v>0</v>
      </c>
      <c r="R22" s="325">
        <v>0</v>
      </c>
      <c r="S22" s="325">
        <v>0</v>
      </c>
      <c r="T22" s="325">
        <v>0</v>
      </c>
      <c r="U22" s="325">
        <v>0</v>
      </c>
      <c r="V22" s="492">
        <f t="shared" si="10"/>
        <v>-42000</v>
      </c>
      <c r="W22" s="325">
        <v>42000</v>
      </c>
      <c r="X22" s="325">
        <v>0</v>
      </c>
      <c r="Y22" s="325">
        <v>0</v>
      </c>
      <c r="Z22" s="492">
        <f t="shared" si="11"/>
        <v>42000</v>
      </c>
      <c r="AA22" s="492">
        <f t="shared" si="12"/>
        <v>0</v>
      </c>
      <c r="AB22" s="494">
        <f t="shared" si="13"/>
        <v>0</v>
      </c>
      <c r="AC22" s="55">
        <f t="shared" si="14"/>
        <v>-420</v>
      </c>
      <c r="AD22" s="14">
        <v>0</v>
      </c>
      <c r="AE22" s="605">
        <f t="shared" si="4"/>
        <v>-420</v>
      </c>
      <c r="AF22" s="688">
        <v>-0.03</v>
      </c>
      <c r="AG22" s="326">
        <v>0</v>
      </c>
      <c r="AH22" s="326">
        <v>0</v>
      </c>
      <c r="AI22" s="326">
        <v>0</v>
      </c>
      <c r="AJ22" s="326">
        <v>0</v>
      </c>
      <c r="AK22" s="326">
        <v>0</v>
      </c>
      <c r="AL22" s="880">
        <f t="shared" si="15"/>
        <v>-0.03</v>
      </c>
      <c r="AM22" s="676">
        <f t="shared" si="16"/>
        <v>9669278</v>
      </c>
      <c r="AN22" s="492">
        <f t="shared" si="17"/>
        <v>7068834</v>
      </c>
      <c r="AO22" s="492">
        <f t="shared" si="18"/>
        <v>105000</v>
      </c>
      <c r="AP22" s="492">
        <f t="shared" si="19"/>
        <v>2424756</v>
      </c>
      <c r="AQ22" s="492">
        <f t="shared" si="19"/>
        <v>70688</v>
      </c>
      <c r="AR22" s="492">
        <f t="shared" si="6"/>
        <v>0</v>
      </c>
      <c r="AS22" s="609">
        <f t="shared" si="20"/>
        <v>10.623699999999999</v>
      </c>
    </row>
    <row r="23" spans="1:45" s="67" customFormat="1" ht="14.1" customHeight="1" x14ac:dyDescent="0.2">
      <c r="A23" s="88">
        <v>2</v>
      </c>
      <c r="B23" s="56">
        <v>2448</v>
      </c>
      <c r="C23" s="64">
        <v>600080269</v>
      </c>
      <c r="D23" s="56">
        <v>63154617</v>
      </c>
      <c r="E23" s="56" t="s">
        <v>685</v>
      </c>
      <c r="F23" s="65">
        <v>3233</v>
      </c>
      <c r="G23" s="56" t="s">
        <v>283</v>
      </c>
      <c r="H23" s="66" t="s">
        <v>263</v>
      </c>
      <c r="I23" s="580">
        <v>1620584</v>
      </c>
      <c r="J23" s="423">
        <v>1202214</v>
      </c>
      <c r="K23" s="423">
        <v>0</v>
      </c>
      <c r="L23" s="14">
        <v>406348</v>
      </c>
      <c r="M23" s="14">
        <v>12022</v>
      </c>
      <c r="N23" s="14">
        <v>0</v>
      </c>
      <c r="O23" s="698">
        <v>2.0299999999999998</v>
      </c>
      <c r="P23" s="440">
        <f t="shared" si="0"/>
        <v>0</v>
      </c>
      <c r="Q23" s="325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 t="shared" si="10"/>
        <v>0</v>
      </c>
      <c r="W23" s="325">
        <v>0</v>
      </c>
      <c r="X23" s="325">
        <v>0</v>
      </c>
      <c r="Y23" s="325">
        <v>0</v>
      </c>
      <c r="Z23" s="492">
        <f t="shared" si="11"/>
        <v>0</v>
      </c>
      <c r="AA23" s="492">
        <f t="shared" si="12"/>
        <v>0</v>
      </c>
      <c r="AB23" s="494">
        <f t="shared" si="13"/>
        <v>0</v>
      </c>
      <c r="AC23" s="55">
        <f t="shared" si="14"/>
        <v>0</v>
      </c>
      <c r="AD23" s="14">
        <v>0</v>
      </c>
      <c r="AE23" s="605">
        <f t="shared" si="4"/>
        <v>0</v>
      </c>
      <c r="AF23" s="688">
        <v>0</v>
      </c>
      <c r="AG23" s="326">
        <v>0</v>
      </c>
      <c r="AH23" s="326">
        <v>0</v>
      </c>
      <c r="AI23" s="326">
        <v>0</v>
      </c>
      <c r="AJ23" s="326">
        <v>0</v>
      </c>
      <c r="AK23" s="326">
        <v>0</v>
      </c>
      <c r="AL23" s="880">
        <f t="shared" si="15"/>
        <v>0</v>
      </c>
      <c r="AM23" s="676">
        <f t="shared" si="16"/>
        <v>1620584</v>
      </c>
      <c r="AN23" s="492">
        <f t="shared" si="17"/>
        <v>1202214</v>
      </c>
      <c r="AO23" s="492">
        <f t="shared" si="18"/>
        <v>0</v>
      </c>
      <c r="AP23" s="492">
        <f t="shared" si="19"/>
        <v>406348</v>
      </c>
      <c r="AQ23" s="492">
        <f t="shared" si="19"/>
        <v>12022</v>
      </c>
      <c r="AR23" s="492">
        <f t="shared" si="6"/>
        <v>0</v>
      </c>
      <c r="AS23" s="609">
        <f t="shared" si="20"/>
        <v>2.0299999999999998</v>
      </c>
    </row>
    <row r="24" spans="1:45" s="67" customFormat="1" ht="14.1" customHeight="1" x14ac:dyDescent="0.2">
      <c r="A24" s="89">
        <v>2</v>
      </c>
      <c r="B24" s="68">
        <v>2448</v>
      </c>
      <c r="C24" s="69">
        <v>600080269</v>
      </c>
      <c r="D24" s="68">
        <v>63154617</v>
      </c>
      <c r="E24" s="68" t="s">
        <v>686</v>
      </c>
      <c r="F24" s="70"/>
      <c r="G24" s="71"/>
      <c r="H24" s="72"/>
      <c r="I24" s="581">
        <v>104908298</v>
      </c>
      <c r="J24" s="334">
        <v>77646483</v>
      </c>
      <c r="K24" s="334">
        <v>180000</v>
      </c>
      <c r="L24" s="334">
        <v>26305351</v>
      </c>
      <c r="M24" s="334">
        <v>776464</v>
      </c>
      <c r="N24" s="334">
        <v>0</v>
      </c>
      <c r="O24" s="74">
        <v>120.27300000000001</v>
      </c>
      <c r="P24" s="692">
        <f t="shared" ref="P24:Z24" si="28">SUM(P17:P23)</f>
        <v>-120000</v>
      </c>
      <c r="Q24" s="334">
        <f t="shared" si="28"/>
        <v>-190156</v>
      </c>
      <c r="R24" s="334">
        <f t="shared" si="28"/>
        <v>0</v>
      </c>
      <c r="S24" s="334">
        <f t="shared" si="28"/>
        <v>0</v>
      </c>
      <c r="T24" s="334">
        <f t="shared" si="28"/>
        <v>0</v>
      </c>
      <c r="U24" s="334">
        <f t="shared" si="28"/>
        <v>0</v>
      </c>
      <c r="V24" s="334">
        <f t="shared" si="28"/>
        <v>-310156</v>
      </c>
      <c r="W24" s="334">
        <f t="shared" si="28"/>
        <v>120000</v>
      </c>
      <c r="X24" s="334">
        <f t="shared" si="28"/>
        <v>0</v>
      </c>
      <c r="Y24" s="334">
        <f t="shared" si="28"/>
        <v>0</v>
      </c>
      <c r="Z24" s="334">
        <f t="shared" si="28"/>
        <v>120000</v>
      </c>
      <c r="AA24" s="334">
        <f t="shared" ref="AA24:AS24" si="29">SUM(AA17:AA23)</f>
        <v>-190156</v>
      </c>
      <c r="AB24" s="334">
        <f t="shared" si="29"/>
        <v>-64273</v>
      </c>
      <c r="AC24" s="334">
        <f t="shared" si="29"/>
        <v>-3102</v>
      </c>
      <c r="AD24" s="334">
        <f t="shared" si="29"/>
        <v>0</v>
      </c>
      <c r="AE24" s="685">
        <f t="shared" si="29"/>
        <v>-257531</v>
      </c>
      <c r="AF24" s="689">
        <f t="shared" si="29"/>
        <v>-0.03</v>
      </c>
      <c r="AG24" s="335">
        <f t="shared" si="29"/>
        <v>-0.48</v>
      </c>
      <c r="AH24" s="335">
        <f t="shared" si="29"/>
        <v>0</v>
      </c>
      <c r="AI24" s="335">
        <f t="shared" si="29"/>
        <v>0</v>
      </c>
      <c r="AJ24" s="335">
        <f t="shared" si="29"/>
        <v>0</v>
      </c>
      <c r="AK24" s="335">
        <f t="shared" si="29"/>
        <v>0</v>
      </c>
      <c r="AL24" s="881">
        <f t="shared" si="29"/>
        <v>-0.51</v>
      </c>
      <c r="AM24" s="581">
        <f t="shared" si="29"/>
        <v>104650767</v>
      </c>
      <c r="AN24" s="334">
        <f t="shared" si="29"/>
        <v>77336327</v>
      </c>
      <c r="AO24" s="334">
        <f t="shared" si="29"/>
        <v>300000</v>
      </c>
      <c r="AP24" s="334">
        <f t="shared" si="29"/>
        <v>26241078</v>
      </c>
      <c r="AQ24" s="334">
        <f t="shared" si="29"/>
        <v>773362</v>
      </c>
      <c r="AR24" s="334">
        <f t="shared" si="29"/>
        <v>0</v>
      </c>
      <c r="AS24" s="74">
        <f t="shared" si="29"/>
        <v>119.76300000000001</v>
      </c>
    </row>
    <row r="25" spans="1:45" s="67" customFormat="1" ht="14.1" customHeight="1" x14ac:dyDescent="0.2">
      <c r="A25" s="88">
        <v>3</v>
      </c>
      <c r="B25" s="73">
        <v>2450</v>
      </c>
      <c r="C25" s="64">
        <v>600080234</v>
      </c>
      <c r="D25" s="56">
        <v>72745045</v>
      </c>
      <c r="E25" s="56" t="s">
        <v>687</v>
      </c>
      <c r="F25" s="65">
        <v>3111</v>
      </c>
      <c r="G25" s="56" t="s">
        <v>277</v>
      </c>
      <c r="H25" s="66" t="s">
        <v>262</v>
      </c>
      <c r="I25" s="580">
        <v>1245312</v>
      </c>
      <c r="J25" s="14">
        <v>870223</v>
      </c>
      <c r="K25" s="14">
        <v>54000</v>
      </c>
      <c r="L25" s="14">
        <v>312387</v>
      </c>
      <c r="M25" s="14">
        <v>8702</v>
      </c>
      <c r="N25" s="14">
        <v>0</v>
      </c>
      <c r="O25" s="633">
        <v>1.706</v>
      </c>
      <c r="P25" s="440">
        <f t="shared" si="0"/>
        <v>-36000</v>
      </c>
      <c r="Q25" s="325">
        <v>0</v>
      </c>
      <c r="R25" s="325">
        <v>0</v>
      </c>
      <c r="S25" s="325">
        <v>0</v>
      </c>
      <c r="T25" s="325">
        <v>0</v>
      </c>
      <c r="U25" s="325">
        <v>0</v>
      </c>
      <c r="V25" s="492">
        <f>P25+Q25+R25+S25+T25+U25</f>
        <v>-36000</v>
      </c>
      <c r="W25" s="325">
        <v>36000</v>
      </c>
      <c r="X25" s="325">
        <v>0</v>
      </c>
      <c r="Y25" s="325">
        <v>0</v>
      </c>
      <c r="Z25" s="492">
        <f t="shared" ref="Z25:Z28" si="30">W25+X25+Y25</f>
        <v>36000</v>
      </c>
      <c r="AA25" s="492">
        <f t="shared" ref="AA25:AA28" si="31">V25+Z25</f>
        <v>0</v>
      </c>
      <c r="AB25" s="494">
        <f t="shared" ref="AB25:AB28" si="32">ROUND((V25+Z25)*33.8%,0)</f>
        <v>0</v>
      </c>
      <c r="AC25" s="55">
        <f>ROUND(V25*1%,0)</f>
        <v>-360</v>
      </c>
      <c r="AD25" s="14">
        <v>0</v>
      </c>
      <c r="AE25" s="605">
        <f t="shared" si="4"/>
        <v>-360</v>
      </c>
      <c r="AF25" s="688">
        <v>0</v>
      </c>
      <c r="AG25" s="326">
        <v>0</v>
      </c>
      <c r="AH25" s="326">
        <v>0</v>
      </c>
      <c r="AI25" s="326">
        <v>0</v>
      </c>
      <c r="AJ25" s="326">
        <v>0</v>
      </c>
      <c r="AK25" s="326">
        <v>0</v>
      </c>
      <c r="AL25" s="880">
        <f>SUM(AF25:AK25)</f>
        <v>0</v>
      </c>
      <c r="AM25" s="676">
        <f>I25+AE25</f>
        <v>1244952</v>
      </c>
      <c r="AN25" s="492">
        <f>J25+V25</f>
        <v>834223</v>
      </c>
      <c r="AO25" s="492">
        <f t="shared" ref="AO25:AO28" si="33">K25+Z25</f>
        <v>90000</v>
      </c>
      <c r="AP25" s="492">
        <f t="shared" ref="AP25:AQ28" si="34">L25+AB25</f>
        <v>312387</v>
      </c>
      <c r="AQ25" s="492">
        <f t="shared" si="34"/>
        <v>8342</v>
      </c>
      <c r="AR25" s="492">
        <f t="shared" si="6"/>
        <v>0</v>
      </c>
      <c r="AS25" s="609">
        <f>O25+AL25</f>
        <v>1.706</v>
      </c>
    </row>
    <row r="26" spans="1:45" s="67" customFormat="1" ht="14.1" customHeight="1" x14ac:dyDescent="0.2">
      <c r="A26" s="88">
        <v>3</v>
      </c>
      <c r="B26" s="75">
        <v>2450</v>
      </c>
      <c r="C26" s="64">
        <v>600080234</v>
      </c>
      <c r="D26" s="56">
        <v>72745045</v>
      </c>
      <c r="E26" s="75" t="s">
        <v>687</v>
      </c>
      <c r="F26" s="76">
        <v>3117</v>
      </c>
      <c r="G26" s="75" t="s">
        <v>294</v>
      </c>
      <c r="H26" s="66" t="s">
        <v>262</v>
      </c>
      <c r="I26" s="580">
        <v>2068940</v>
      </c>
      <c r="J26" s="14">
        <v>1534821</v>
      </c>
      <c r="K26" s="14">
        <v>0</v>
      </c>
      <c r="L26" s="14">
        <v>518770</v>
      </c>
      <c r="M26" s="14">
        <v>15349</v>
      </c>
      <c r="N26" s="14">
        <v>0</v>
      </c>
      <c r="O26" s="633">
        <v>2.4805999999999999</v>
      </c>
      <c r="P26" s="440">
        <f t="shared" si="0"/>
        <v>0</v>
      </c>
      <c r="Q26" s="325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>P26+Q26+R26+S26+T26+U26</f>
        <v>0</v>
      </c>
      <c r="W26" s="325">
        <v>0</v>
      </c>
      <c r="X26" s="325">
        <v>0</v>
      </c>
      <c r="Y26" s="325">
        <v>0</v>
      </c>
      <c r="Z26" s="492">
        <f t="shared" si="30"/>
        <v>0</v>
      </c>
      <c r="AA26" s="492">
        <f t="shared" si="31"/>
        <v>0</v>
      </c>
      <c r="AB26" s="494">
        <f t="shared" si="32"/>
        <v>0</v>
      </c>
      <c r="AC26" s="55">
        <f>ROUND(V26*1%,0)</f>
        <v>0</v>
      </c>
      <c r="AD26" s="14">
        <v>0</v>
      </c>
      <c r="AE26" s="605">
        <f t="shared" si="4"/>
        <v>0</v>
      </c>
      <c r="AF26" s="688">
        <v>0</v>
      </c>
      <c r="AG26" s="326">
        <v>0</v>
      </c>
      <c r="AH26" s="326">
        <v>0</v>
      </c>
      <c r="AI26" s="326">
        <v>0</v>
      </c>
      <c r="AJ26" s="326">
        <v>0</v>
      </c>
      <c r="AK26" s="326">
        <v>0</v>
      </c>
      <c r="AL26" s="880">
        <f>SUM(AF26:AK26)</f>
        <v>0</v>
      </c>
      <c r="AM26" s="676">
        <f>I26+AE26</f>
        <v>2068940</v>
      </c>
      <c r="AN26" s="492">
        <f>J26+V26</f>
        <v>1534821</v>
      </c>
      <c r="AO26" s="492">
        <f t="shared" si="33"/>
        <v>0</v>
      </c>
      <c r="AP26" s="492">
        <f t="shared" si="34"/>
        <v>518770</v>
      </c>
      <c r="AQ26" s="492">
        <f t="shared" si="34"/>
        <v>15349</v>
      </c>
      <c r="AR26" s="492">
        <f t="shared" si="6"/>
        <v>0</v>
      </c>
      <c r="AS26" s="609">
        <f>O26+AL26</f>
        <v>2.4805999999999999</v>
      </c>
    </row>
    <row r="27" spans="1:45" s="67" customFormat="1" ht="14.1" customHeight="1" x14ac:dyDescent="0.2">
      <c r="A27" s="88">
        <v>3</v>
      </c>
      <c r="B27" s="73">
        <v>2450</v>
      </c>
      <c r="C27" s="64">
        <v>600080234</v>
      </c>
      <c r="D27" s="56">
        <v>72745045</v>
      </c>
      <c r="E27" s="73" t="s">
        <v>687</v>
      </c>
      <c r="F27" s="65">
        <v>3117</v>
      </c>
      <c r="G27" s="56" t="s">
        <v>278</v>
      </c>
      <c r="H27" s="66" t="s">
        <v>263</v>
      </c>
      <c r="I27" s="580">
        <v>896940</v>
      </c>
      <c r="J27" s="423">
        <v>665386</v>
      </c>
      <c r="K27" s="423">
        <v>0</v>
      </c>
      <c r="L27" s="14">
        <v>224900</v>
      </c>
      <c r="M27" s="14">
        <v>6654</v>
      </c>
      <c r="N27" s="14">
        <v>0</v>
      </c>
      <c r="O27" s="698">
        <v>1.79</v>
      </c>
      <c r="P27" s="440">
        <f t="shared" si="0"/>
        <v>0</v>
      </c>
      <c r="Q27" s="325">
        <v>0</v>
      </c>
      <c r="R27" s="325">
        <v>0</v>
      </c>
      <c r="S27" s="325">
        <v>0</v>
      </c>
      <c r="T27" s="325">
        <v>0</v>
      </c>
      <c r="U27" s="325">
        <v>0</v>
      </c>
      <c r="V27" s="492">
        <f>P27+Q27+R27+S27+T27+U27</f>
        <v>0</v>
      </c>
      <c r="W27" s="325">
        <v>0</v>
      </c>
      <c r="X27" s="325">
        <v>0</v>
      </c>
      <c r="Y27" s="325">
        <v>0</v>
      </c>
      <c r="Z27" s="492">
        <f t="shared" si="30"/>
        <v>0</v>
      </c>
      <c r="AA27" s="492">
        <f t="shared" si="31"/>
        <v>0</v>
      </c>
      <c r="AB27" s="494">
        <f t="shared" si="32"/>
        <v>0</v>
      </c>
      <c r="AC27" s="55">
        <f>ROUND(V27*1%,0)</f>
        <v>0</v>
      </c>
      <c r="AD27" s="14">
        <v>0</v>
      </c>
      <c r="AE27" s="605">
        <f t="shared" si="4"/>
        <v>0</v>
      </c>
      <c r="AF27" s="688">
        <v>0</v>
      </c>
      <c r="AG27" s="326">
        <v>0</v>
      </c>
      <c r="AH27" s="326">
        <v>0</v>
      </c>
      <c r="AI27" s="326">
        <v>0</v>
      </c>
      <c r="AJ27" s="326">
        <v>0</v>
      </c>
      <c r="AK27" s="326">
        <v>0</v>
      </c>
      <c r="AL27" s="880">
        <f>SUM(AF27:AK27)</f>
        <v>0</v>
      </c>
      <c r="AM27" s="676">
        <f>I27+AE27</f>
        <v>896940</v>
      </c>
      <c r="AN27" s="492">
        <f>J27+V27</f>
        <v>665386</v>
      </c>
      <c r="AO27" s="492">
        <f t="shared" si="33"/>
        <v>0</v>
      </c>
      <c r="AP27" s="492">
        <f t="shared" si="34"/>
        <v>224900</v>
      </c>
      <c r="AQ27" s="492">
        <f t="shared" si="34"/>
        <v>6654</v>
      </c>
      <c r="AR27" s="492">
        <f t="shared" si="6"/>
        <v>0</v>
      </c>
      <c r="AS27" s="609">
        <f>O27+AL27</f>
        <v>1.79</v>
      </c>
    </row>
    <row r="28" spans="1:45" s="67" customFormat="1" ht="14.1" customHeight="1" x14ac:dyDescent="0.2">
      <c r="A28" s="88">
        <v>3</v>
      </c>
      <c r="B28" s="56">
        <v>2450</v>
      </c>
      <c r="C28" s="64">
        <v>600080234</v>
      </c>
      <c r="D28" s="56">
        <v>72745045</v>
      </c>
      <c r="E28" s="56" t="s">
        <v>687</v>
      </c>
      <c r="F28" s="65">
        <v>3143</v>
      </c>
      <c r="G28" s="56" t="s">
        <v>794</v>
      </c>
      <c r="H28" s="66" t="s">
        <v>262</v>
      </c>
      <c r="I28" s="580">
        <v>676405</v>
      </c>
      <c r="J28" s="14">
        <v>495829</v>
      </c>
      <c r="K28" s="14">
        <v>6000</v>
      </c>
      <c r="L28" s="14">
        <v>169618</v>
      </c>
      <c r="M28" s="14">
        <v>4958</v>
      </c>
      <c r="N28" s="14">
        <v>0</v>
      </c>
      <c r="O28" s="633">
        <v>1</v>
      </c>
      <c r="P28" s="440">
        <f t="shared" si="0"/>
        <v>-4000</v>
      </c>
      <c r="Q28" s="325">
        <v>0</v>
      </c>
      <c r="R28" s="325">
        <v>0</v>
      </c>
      <c r="S28" s="325">
        <v>0</v>
      </c>
      <c r="T28" s="325">
        <v>0</v>
      </c>
      <c r="U28" s="325">
        <v>0</v>
      </c>
      <c r="V28" s="492">
        <f>P28+Q28+R28+S28+T28+U28</f>
        <v>-4000</v>
      </c>
      <c r="W28" s="325">
        <v>4000</v>
      </c>
      <c r="X28" s="325">
        <v>0</v>
      </c>
      <c r="Y28" s="325">
        <v>0</v>
      </c>
      <c r="Z28" s="492">
        <f t="shared" si="30"/>
        <v>4000</v>
      </c>
      <c r="AA28" s="492">
        <f t="shared" si="31"/>
        <v>0</v>
      </c>
      <c r="AB28" s="494">
        <f t="shared" si="32"/>
        <v>0</v>
      </c>
      <c r="AC28" s="55">
        <f>ROUND(V28*1%,0)</f>
        <v>-40</v>
      </c>
      <c r="AD28" s="14">
        <v>0</v>
      </c>
      <c r="AE28" s="605">
        <f t="shared" si="4"/>
        <v>-40</v>
      </c>
      <c r="AF28" s="688">
        <v>0</v>
      </c>
      <c r="AG28" s="326">
        <v>0</v>
      </c>
      <c r="AH28" s="326">
        <v>0</v>
      </c>
      <c r="AI28" s="326">
        <v>0</v>
      </c>
      <c r="AJ28" s="326">
        <v>0</v>
      </c>
      <c r="AK28" s="326">
        <v>0</v>
      </c>
      <c r="AL28" s="880">
        <f>SUM(AF28:AK28)</f>
        <v>0</v>
      </c>
      <c r="AM28" s="676">
        <f>I28+AE28</f>
        <v>676365</v>
      </c>
      <c r="AN28" s="492">
        <f>J28+V28</f>
        <v>491829</v>
      </c>
      <c r="AO28" s="492">
        <f t="shared" si="33"/>
        <v>10000</v>
      </c>
      <c r="AP28" s="492">
        <f t="shared" si="34"/>
        <v>169618</v>
      </c>
      <c r="AQ28" s="492">
        <f t="shared" si="34"/>
        <v>4918</v>
      </c>
      <c r="AR28" s="492">
        <f t="shared" si="6"/>
        <v>0</v>
      </c>
      <c r="AS28" s="609">
        <f>O28+AL28</f>
        <v>1</v>
      </c>
    </row>
    <row r="29" spans="1:45" s="67" customFormat="1" ht="14.1" customHeight="1" x14ac:dyDescent="0.2">
      <c r="A29" s="89">
        <v>3</v>
      </c>
      <c r="B29" s="68">
        <v>2450</v>
      </c>
      <c r="C29" s="69">
        <v>600080234</v>
      </c>
      <c r="D29" s="68">
        <v>72745045</v>
      </c>
      <c r="E29" s="68" t="s">
        <v>688</v>
      </c>
      <c r="F29" s="77"/>
      <c r="G29" s="71"/>
      <c r="H29" s="72"/>
      <c r="I29" s="581">
        <v>4887597</v>
      </c>
      <c r="J29" s="334">
        <v>3566259</v>
      </c>
      <c r="K29" s="334">
        <v>60000</v>
      </c>
      <c r="L29" s="334">
        <v>1225675</v>
      </c>
      <c r="M29" s="334">
        <v>35663</v>
      </c>
      <c r="N29" s="334">
        <v>0</v>
      </c>
      <c r="O29" s="74">
        <v>6.9766000000000004</v>
      </c>
      <c r="P29" s="692">
        <f t="shared" ref="P29:Z29" si="35">SUM(P25:P28)</f>
        <v>-40000</v>
      </c>
      <c r="Q29" s="334">
        <f t="shared" si="35"/>
        <v>0</v>
      </c>
      <c r="R29" s="334">
        <f t="shared" si="35"/>
        <v>0</v>
      </c>
      <c r="S29" s="334">
        <f t="shared" si="35"/>
        <v>0</v>
      </c>
      <c r="T29" s="334">
        <f t="shared" si="35"/>
        <v>0</v>
      </c>
      <c r="U29" s="334">
        <f t="shared" si="35"/>
        <v>0</v>
      </c>
      <c r="V29" s="334">
        <f t="shared" si="35"/>
        <v>-40000</v>
      </c>
      <c r="W29" s="334">
        <f t="shared" si="35"/>
        <v>40000</v>
      </c>
      <c r="X29" s="334">
        <f t="shared" si="35"/>
        <v>0</v>
      </c>
      <c r="Y29" s="334">
        <f t="shared" si="35"/>
        <v>0</v>
      </c>
      <c r="Z29" s="334">
        <f t="shared" si="35"/>
        <v>40000</v>
      </c>
      <c r="AA29" s="334">
        <f t="shared" ref="AA29:AS29" si="36">SUM(AA25:AA28)</f>
        <v>0</v>
      </c>
      <c r="AB29" s="334">
        <f t="shared" si="36"/>
        <v>0</v>
      </c>
      <c r="AC29" s="334">
        <f t="shared" si="36"/>
        <v>-400</v>
      </c>
      <c r="AD29" s="334">
        <f t="shared" si="36"/>
        <v>0</v>
      </c>
      <c r="AE29" s="685">
        <f t="shared" si="36"/>
        <v>-400</v>
      </c>
      <c r="AF29" s="689">
        <f t="shared" si="36"/>
        <v>0</v>
      </c>
      <c r="AG29" s="335">
        <f t="shared" si="36"/>
        <v>0</v>
      </c>
      <c r="AH29" s="335">
        <f t="shared" si="36"/>
        <v>0</v>
      </c>
      <c r="AI29" s="335">
        <f t="shared" si="36"/>
        <v>0</v>
      </c>
      <c r="AJ29" s="335">
        <f t="shared" si="36"/>
        <v>0</v>
      </c>
      <c r="AK29" s="335">
        <f t="shared" si="36"/>
        <v>0</v>
      </c>
      <c r="AL29" s="881">
        <f t="shared" si="36"/>
        <v>0</v>
      </c>
      <c r="AM29" s="581">
        <f t="shared" si="36"/>
        <v>4887197</v>
      </c>
      <c r="AN29" s="334">
        <f t="shared" si="36"/>
        <v>3526259</v>
      </c>
      <c r="AO29" s="334">
        <f t="shared" si="36"/>
        <v>100000</v>
      </c>
      <c r="AP29" s="334">
        <f t="shared" si="36"/>
        <v>1225675</v>
      </c>
      <c r="AQ29" s="334">
        <f t="shared" si="36"/>
        <v>35263</v>
      </c>
      <c r="AR29" s="334">
        <f t="shared" si="36"/>
        <v>0</v>
      </c>
      <c r="AS29" s="74">
        <f t="shared" si="36"/>
        <v>6.9766000000000004</v>
      </c>
    </row>
    <row r="30" spans="1:45" s="67" customFormat="1" ht="14.1" customHeight="1" x14ac:dyDescent="0.2">
      <c r="A30" s="88">
        <v>4</v>
      </c>
      <c r="B30" s="73">
        <v>2451</v>
      </c>
      <c r="C30" s="64">
        <v>650037901</v>
      </c>
      <c r="D30" s="56">
        <v>72744880</v>
      </c>
      <c r="E30" s="56" t="s">
        <v>689</v>
      </c>
      <c r="F30" s="65">
        <v>3111</v>
      </c>
      <c r="G30" s="56" t="s">
        <v>277</v>
      </c>
      <c r="H30" s="66" t="s">
        <v>262</v>
      </c>
      <c r="I30" s="580">
        <v>1553262</v>
      </c>
      <c r="J30" s="14">
        <v>1152271</v>
      </c>
      <c r="K30" s="14">
        <v>0</v>
      </c>
      <c r="L30" s="14">
        <v>389468</v>
      </c>
      <c r="M30" s="14">
        <v>11523</v>
      </c>
      <c r="N30" s="14">
        <v>0</v>
      </c>
      <c r="O30" s="633">
        <v>2</v>
      </c>
      <c r="P30" s="440">
        <f t="shared" si="0"/>
        <v>0</v>
      </c>
      <c r="Q30" s="325">
        <v>0</v>
      </c>
      <c r="R30" s="325">
        <v>0</v>
      </c>
      <c r="S30" s="325">
        <v>0</v>
      </c>
      <c r="T30" s="325">
        <v>0</v>
      </c>
      <c r="U30" s="325">
        <v>0</v>
      </c>
      <c r="V30" s="492">
        <f>P30+Q30+R30+S30+T30+U30</f>
        <v>0</v>
      </c>
      <c r="W30" s="325">
        <v>0</v>
      </c>
      <c r="X30" s="325">
        <v>0</v>
      </c>
      <c r="Y30" s="325">
        <v>0</v>
      </c>
      <c r="Z30" s="492">
        <f t="shared" ref="Z30:Z33" si="37">W30+X30+Y30</f>
        <v>0</v>
      </c>
      <c r="AA30" s="492">
        <f t="shared" ref="AA30:AA33" si="38">V30+Z30</f>
        <v>0</v>
      </c>
      <c r="AB30" s="494">
        <f t="shared" ref="AB30:AB33" si="39">ROUND((V30+Z30)*33.8%,0)</f>
        <v>0</v>
      </c>
      <c r="AC30" s="55">
        <f>ROUND(V30*1%,0)</f>
        <v>0</v>
      </c>
      <c r="AD30" s="14">
        <v>0</v>
      </c>
      <c r="AE30" s="605">
        <f t="shared" si="4"/>
        <v>0</v>
      </c>
      <c r="AF30" s="688">
        <v>0</v>
      </c>
      <c r="AG30" s="326">
        <v>0</v>
      </c>
      <c r="AH30" s="326">
        <v>0</v>
      </c>
      <c r="AI30" s="326">
        <v>0</v>
      </c>
      <c r="AJ30" s="326">
        <v>0</v>
      </c>
      <c r="AK30" s="326">
        <v>0</v>
      </c>
      <c r="AL30" s="880">
        <f>SUM(AF30:AK30)</f>
        <v>0</v>
      </c>
      <c r="AM30" s="676">
        <f>I30+AE30</f>
        <v>1553262</v>
      </c>
      <c r="AN30" s="492">
        <f>J30+V30</f>
        <v>1152271</v>
      </c>
      <c r="AO30" s="492">
        <f t="shared" ref="AO30:AO33" si="40">K30+Z30</f>
        <v>0</v>
      </c>
      <c r="AP30" s="492">
        <f t="shared" ref="AP30:AQ33" si="41">L30+AB30</f>
        <v>389468</v>
      </c>
      <c r="AQ30" s="492">
        <f t="shared" si="41"/>
        <v>11523</v>
      </c>
      <c r="AR30" s="492">
        <f t="shared" si="6"/>
        <v>0</v>
      </c>
      <c r="AS30" s="609">
        <f>O30+AL30</f>
        <v>2</v>
      </c>
    </row>
    <row r="31" spans="1:45" s="67" customFormat="1" ht="14.1" customHeight="1" x14ac:dyDescent="0.2">
      <c r="A31" s="88">
        <v>4</v>
      </c>
      <c r="B31" s="75">
        <v>2451</v>
      </c>
      <c r="C31" s="64">
        <v>650037901</v>
      </c>
      <c r="D31" s="56">
        <v>72744880</v>
      </c>
      <c r="E31" s="75" t="s">
        <v>689</v>
      </c>
      <c r="F31" s="76">
        <v>3117</v>
      </c>
      <c r="G31" s="75" t="s">
        <v>294</v>
      </c>
      <c r="H31" s="66" t="s">
        <v>262</v>
      </c>
      <c r="I31" s="580">
        <v>3704593</v>
      </c>
      <c r="J31" s="14">
        <v>2748215</v>
      </c>
      <c r="K31" s="14">
        <v>0</v>
      </c>
      <c r="L31" s="14">
        <v>928896</v>
      </c>
      <c r="M31" s="14">
        <v>27482</v>
      </c>
      <c r="N31" s="14">
        <v>0</v>
      </c>
      <c r="O31" s="633">
        <v>4</v>
      </c>
      <c r="P31" s="440">
        <f t="shared" si="0"/>
        <v>0</v>
      </c>
      <c r="Q31" s="325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>P31+Q31+R31+S31+T31+U31</f>
        <v>0</v>
      </c>
      <c r="W31" s="325">
        <v>0</v>
      </c>
      <c r="X31" s="325">
        <v>0</v>
      </c>
      <c r="Y31" s="325">
        <v>0</v>
      </c>
      <c r="Z31" s="492">
        <f t="shared" si="37"/>
        <v>0</v>
      </c>
      <c r="AA31" s="492">
        <f t="shared" si="38"/>
        <v>0</v>
      </c>
      <c r="AB31" s="494">
        <f t="shared" si="39"/>
        <v>0</v>
      </c>
      <c r="AC31" s="55">
        <f>ROUND(V31*1%,0)</f>
        <v>0</v>
      </c>
      <c r="AD31" s="14">
        <v>0</v>
      </c>
      <c r="AE31" s="605">
        <f t="shared" si="4"/>
        <v>0</v>
      </c>
      <c r="AF31" s="688">
        <v>0</v>
      </c>
      <c r="AG31" s="326">
        <v>0</v>
      </c>
      <c r="AH31" s="326">
        <v>0</v>
      </c>
      <c r="AI31" s="326">
        <v>0</v>
      </c>
      <c r="AJ31" s="326">
        <v>0</v>
      </c>
      <c r="AK31" s="326">
        <v>0</v>
      </c>
      <c r="AL31" s="880">
        <f>SUM(AF31:AK31)</f>
        <v>0</v>
      </c>
      <c r="AM31" s="676">
        <f>I31+AE31</f>
        <v>3704593</v>
      </c>
      <c r="AN31" s="492">
        <f>J31+V31</f>
        <v>2748215</v>
      </c>
      <c r="AO31" s="492">
        <f t="shared" si="40"/>
        <v>0</v>
      </c>
      <c r="AP31" s="492">
        <f t="shared" si="41"/>
        <v>928896</v>
      </c>
      <c r="AQ31" s="492">
        <f t="shared" si="41"/>
        <v>27482</v>
      </c>
      <c r="AR31" s="492">
        <f t="shared" si="6"/>
        <v>0</v>
      </c>
      <c r="AS31" s="609">
        <f>O31+AL31</f>
        <v>4</v>
      </c>
    </row>
    <row r="32" spans="1:45" s="67" customFormat="1" ht="14.1" customHeight="1" x14ac:dyDescent="0.2">
      <c r="A32" s="88">
        <v>4</v>
      </c>
      <c r="B32" s="73">
        <v>2451</v>
      </c>
      <c r="C32" s="64">
        <v>650037901</v>
      </c>
      <c r="D32" s="56">
        <v>72744880</v>
      </c>
      <c r="E32" s="73" t="s">
        <v>689</v>
      </c>
      <c r="F32" s="65">
        <v>3117</v>
      </c>
      <c r="G32" s="56" t="s">
        <v>278</v>
      </c>
      <c r="H32" s="66" t="s">
        <v>263</v>
      </c>
      <c r="I32" s="580">
        <v>1328962</v>
      </c>
      <c r="J32" s="423">
        <v>985877</v>
      </c>
      <c r="K32" s="423">
        <v>0</v>
      </c>
      <c r="L32" s="14">
        <v>333226</v>
      </c>
      <c r="M32" s="14">
        <v>9859</v>
      </c>
      <c r="N32" s="14">
        <v>0</v>
      </c>
      <c r="O32" s="698">
        <v>2.2999999999999998</v>
      </c>
      <c r="P32" s="440">
        <f t="shared" si="0"/>
        <v>0</v>
      </c>
      <c r="Q32" s="325">
        <f>-22075+19868</f>
        <v>-2207</v>
      </c>
      <c r="R32" s="325">
        <v>0</v>
      </c>
      <c r="S32" s="325">
        <v>0</v>
      </c>
      <c r="T32" s="325">
        <v>0</v>
      </c>
      <c r="U32" s="325">
        <v>0</v>
      </c>
      <c r="V32" s="492">
        <f>P32+Q32+R32+S32+T32+U32</f>
        <v>-2207</v>
      </c>
      <c r="W32" s="325">
        <v>0</v>
      </c>
      <c r="X32" s="325">
        <v>0</v>
      </c>
      <c r="Y32" s="325">
        <v>0</v>
      </c>
      <c r="Z32" s="492">
        <f t="shared" si="37"/>
        <v>0</v>
      </c>
      <c r="AA32" s="492">
        <f t="shared" si="38"/>
        <v>-2207</v>
      </c>
      <c r="AB32" s="494">
        <f t="shared" si="39"/>
        <v>-746</v>
      </c>
      <c r="AC32" s="55">
        <f>ROUND(V32*1%,0)</f>
        <v>-22</v>
      </c>
      <c r="AD32" s="14">
        <v>0</v>
      </c>
      <c r="AE32" s="605">
        <f t="shared" si="4"/>
        <v>-2975</v>
      </c>
      <c r="AF32" s="688">
        <v>0</v>
      </c>
      <c r="AG32" s="326">
        <f>-0.04+0.04</f>
        <v>0</v>
      </c>
      <c r="AH32" s="326">
        <v>0</v>
      </c>
      <c r="AI32" s="326">
        <v>0</v>
      </c>
      <c r="AJ32" s="326">
        <v>0</v>
      </c>
      <c r="AK32" s="326">
        <v>0</v>
      </c>
      <c r="AL32" s="880">
        <f>SUM(AF32:AK32)</f>
        <v>0</v>
      </c>
      <c r="AM32" s="676">
        <f>I32+AE32</f>
        <v>1325987</v>
      </c>
      <c r="AN32" s="492">
        <f>J32+V32</f>
        <v>983670</v>
      </c>
      <c r="AO32" s="492">
        <f t="shared" si="40"/>
        <v>0</v>
      </c>
      <c r="AP32" s="492">
        <f t="shared" si="41"/>
        <v>332480</v>
      </c>
      <c r="AQ32" s="492">
        <f t="shared" si="41"/>
        <v>9837</v>
      </c>
      <c r="AR32" s="492">
        <f t="shared" si="6"/>
        <v>0</v>
      </c>
      <c r="AS32" s="609">
        <f>O32+AL32</f>
        <v>2.2999999999999998</v>
      </c>
    </row>
    <row r="33" spans="1:45" s="67" customFormat="1" ht="14.1" customHeight="1" x14ac:dyDescent="0.2">
      <c r="A33" s="88">
        <v>4</v>
      </c>
      <c r="B33" s="56">
        <v>2451</v>
      </c>
      <c r="C33" s="64">
        <v>650037901</v>
      </c>
      <c r="D33" s="56">
        <v>72744880</v>
      </c>
      <c r="E33" s="56" t="s">
        <v>689</v>
      </c>
      <c r="F33" s="65">
        <v>3143</v>
      </c>
      <c r="G33" s="56" t="s">
        <v>794</v>
      </c>
      <c r="H33" s="66" t="s">
        <v>262</v>
      </c>
      <c r="I33" s="580">
        <v>690013</v>
      </c>
      <c r="J33" s="14">
        <v>511879</v>
      </c>
      <c r="K33" s="14">
        <v>0</v>
      </c>
      <c r="L33" s="14">
        <v>173015</v>
      </c>
      <c r="M33" s="14">
        <v>5119</v>
      </c>
      <c r="N33" s="14">
        <v>0</v>
      </c>
      <c r="O33" s="633">
        <v>1</v>
      </c>
      <c r="P33" s="440">
        <f t="shared" si="0"/>
        <v>0</v>
      </c>
      <c r="Q33" s="325">
        <v>0</v>
      </c>
      <c r="R33" s="325">
        <v>0</v>
      </c>
      <c r="S33" s="325">
        <v>0</v>
      </c>
      <c r="T33" s="325">
        <v>0</v>
      </c>
      <c r="U33" s="325">
        <v>0</v>
      </c>
      <c r="V33" s="492">
        <f>P33+Q33+R33+S33+T33+U33</f>
        <v>0</v>
      </c>
      <c r="W33" s="325">
        <v>0</v>
      </c>
      <c r="X33" s="325">
        <v>0</v>
      </c>
      <c r="Y33" s="325">
        <v>0</v>
      </c>
      <c r="Z33" s="492">
        <f t="shared" si="37"/>
        <v>0</v>
      </c>
      <c r="AA33" s="492">
        <f t="shared" si="38"/>
        <v>0</v>
      </c>
      <c r="AB33" s="494">
        <f t="shared" si="39"/>
        <v>0</v>
      </c>
      <c r="AC33" s="55">
        <f>ROUND(V33*1%,0)</f>
        <v>0</v>
      </c>
      <c r="AD33" s="14">
        <v>0</v>
      </c>
      <c r="AE33" s="605">
        <f t="shared" si="4"/>
        <v>0</v>
      </c>
      <c r="AF33" s="688">
        <v>0</v>
      </c>
      <c r="AG33" s="326">
        <v>0</v>
      </c>
      <c r="AH33" s="326">
        <v>0</v>
      </c>
      <c r="AI33" s="326">
        <v>0</v>
      </c>
      <c r="AJ33" s="326">
        <v>0</v>
      </c>
      <c r="AK33" s="326">
        <v>0</v>
      </c>
      <c r="AL33" s="880">
        <f>SUM(AF33:AK33)</f>
        <v>0</v>
      </c>
      <c r="AM33" s="676">
        <f>I33+AE33</f>
        <v>690013</v>
      </c>
      <c r="AN33" s="492">
        <f>J33+V33</f>
        <v>511879</v>
      </c>
      <c r="AO33" s="492">
        <f t="shared" si="40"/>
        <v>0</v>
      </c>
      <c r="AP33" s="492">
        <f t="shared" si="41"/>
        <v>173015</v>
      </c>
      <c r="AQ33" s="492">
        <f t="shared" si="41"/>
        <v>5119</v>
      </c>
      <c r="AR33" s="492">
        <f t="shared" si="6"/>
        <v>0</v>
      </c>
      <c r="AS33" s="609">
        <f>O33+AL33</f>
        <v>1</v>
      </c>
    </row>
    <row r="34" spans="1:45" s="67" customFormat="1" ht="14.1" customHeight="1" x14ac:dyDescent="0.2">
      <c r="A34" s="89">
        <v>4</v>
      </c>
      <c r="B34" s="68">
        <v>2451</v>
      </c>
      <c r="C34" s="69">
        <v>650037901</v>
      </c>
      <c r="D34" s="68">
        <v>72744880</v>
      </c>
      <c r="E34" s="68" t="s">
        <v>690</v>
      </c>
      <c r="F34" s="77"/>
      <c r="G34" s="71"/>
      <c r="H34" s="72"/>
      <c r="I34" s="581">
        <v>7276830</v>
      </c>
      <c r="J34" s="334">
        <v>5398242</v>
      </c>
      <c r="K34" s="334">
        <v>0</v>
      </c>
      <c r="L34" s="334">
        <v>1824605</v>
      </c>
      <c r="M34" s="334">
        <v>53983</v>
      </c>
      <c r="N34" s="334">
        <v>0</v>
      </c>
      <c r="O34" s="74">
        <v>9.3000000000000007</v>
      </c>
      <c r="P34" s="692">
        <f t="shared" ref="P34:Z34" si="42">SUM(P30:P33)</f>
        <v>0</v>
      </c>
      <c r="Q34" s="334">
        <f t="shared" si="42"/>
        <v>-2207</v>
      </c>
      <c r="R34" s="334">
        <f t="shared" si="42"/>
        <v>0</v>
      </c>
      <c r="S34" s="334">
        <f t="shared" si="42"/>
        <v>0</v>
      </c>
      <c r="T34" s="334">
        <f t="shared" si="42"/>
        <v>0</v>
      </c>
      <c r="U34" s="334">
        <f t="shared" si="42"/>
        <v>0</v>
      </c>
      <c r="V34" s="334">
        <f t="shared" si="42"/>
        <v>-2207</v>
      </c>
      <c r="W34" s="334">
        <f t="shared" si="42"/>
        <v>0</v>
      </c>
      <c r="X34" s="334">
        <f t="shared" si="42"/>
        <v>0</v>
      </c>
      <c r="Y34" s="334">
        <f t="shared" si="42"/>
        <v>0</v>
      </c>
      <c r="Z34" s="334">
        <f t="shared" si="42"/>
        <v>0</v>
      </c>
      <c r="AA34" s="334">
        <f t="shared" ref="AA34:AS34" si="43">SUM(AA30:AA33)</f>
        <v>-2207</v>
      </c>
      <c r="AB34" s="334">
        <f t="shared" si="43"/>
        <v>-746</v>
      </c>
      <c r="AC34" s="334">
        <f t="shared" si="43"/>
        <v>-22</v>
      </c>
      <c r="AD34" s="334">
        <f t="shared" si="43"/>
        <v>0</v>
      </c>
      <c r="AE34" s="685">
        <f t="shared" si="43"/>
        <v>-2975</v>
      </c>
      <c r="AF34" s="689">
        <f t="shared" si="43"/>
        <v>0</v>
      </c>
      <c r="AG34" s="335">
        <f t="shared" si="43"/>
        <v>0</v>
      </c>
      <c r="AH34" s="335">
        <f t="shared" si="43"/>
        <v>0</v>
      </c>
      <c r="AI34" s="335">
        <f t="shared" si="43"/>
        <v>0</v>
      </c>
      <c r="AJ34" s="335">
        <f t="shared" si="43"/>
        <v>0</v>
      </c>
      <c r="AK34" s="335">
        <f t="shared" si="43"/>
        <v>0</v>
      </c>
      <c r="AL34" s="881">
        <f t="shared" si="43"/>
        <v>0</v>
      </c>
      <c r="AM34" s="581">
        <f t="shared" si="43"/>
        <v>7273855</v>
      </c>
      <c r="AN34" s="334">
        <f t="shared" si="43"/>
        <v>5396035</v>
      </c>
      <c r="AO34" s="334">
        <f t="shared" si="43"/>
        <v>0</v>
      </c>
      <c r="AP34" s="334">
        <f t="shared" si="43"/>
        <v>1823859</v>
      </c>
      <c r="AQ34" s="334">
        <f t="shared" si="43"/>
        <v>53961</v>
      </c>
      <c r="AR34" s="334">
        <f t="shared" si="43"/>
        <v>0</v>
      </c>
      <c r="AS34" s="74">
        <f t="shared" si="43"/>
        <v>9.3000000000000007</v>
      </c>
    </row>
    <row r="35" spans="1:45" s="67" customFormat="1" ht="14.1" customHeight="1" x14ac:dyDescent="0.2">
      <c r="A35" s="88">
        <v>5</v>
      </c>
      <c r="B35" s="73">
        <v>2453</v>
      </c>
      <c r="C35" s="64">
        <v>600079686</v>
      </c>
      <c r="D35" s="56">
        <v>72743603</v>
      </c>
      <c r="E35" s="56" t="s">
        <v>691</v>
      </c>
      <c r="F35" s="65">
        <v>3111</v>
      </c>
      <c r="G35" s="56" t="s">
        <v>277</v>
      </c>
      <c r="H35" s="66" t="s">
        <v>262</v>
      </c>
      <c r="I35" s="580">
        <v>3831761</v>
      </c>
      <c r="J35" s="14">
        <v>2829450</v>
      </c>
      <c r="K35" s="14">
        <v>13200</v>
      </c>
      <c r="L35" s="14">
        <v>960816</v>
      </c>
      <c r="M35" s="14">
        <v>28295</v>
      </c>
      <c r="N35" s="14">
        <v>0</v>
      </c>
      <c r="O35" s="633">
        <v>4.4961000000000002</v>
      </c>
      <c r="P35" s="440">
        <f t="shared" si="0"/>
        <v>-8800</v>
      </c>
      <c r="Q35" s="325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>P35+Q35+R35+S35+T35+U35</f>
        <v>-8800</v>
      </c>
      <c r="W35" s="325">
        <v>8800</v>
      </c>
      <c r="X35" s="325">
        <v>0</v>
      </c>
      <c r="Y35" s="325">
        <v>0</v>
      </c>
      <c r="Z35" s="492">
        <f t="shared" ref="Z35:Z38" si="44">W35+X35+Y35</f>
        <v>8800</v>
      </c>
      <c r="AA35" s="492">
        <f t="shared" ref="AA35:AA38" si="45">V35+Z35</f>
        <v>0</v>
      </c>
      <c r="AB35" s="494">
        <f t="shared" ref="AB35:AB38" si="46">ROUND((V35+Z35)*33.8%,0)</f>
        <v>0</v>
      </c>
      <c r="AC35" s="55">
        <f>ROUND(V35*1%,0)</f>
        <v>-88</v>
      </c>
      <c r="AD35" s="14">
        <v>0</v>
      </c>
      <c r="AE35" s="605">
        <f t="shared" si="4"/>
        <v>-88</v>
      </c>
      <c r="AF35" s="688">
        <v>-0.02</v>
      </c>
      <c r="AG35" s="326">
        <v>0</v>
      </c>
      <c r="AH35" s="326">
        <v>0</v>
      </c>
      <c r="AI35" s="326">
        <v>0</v>
      </c>
      <c r="AJ35" s="326">
        <v>0</v>
      </c>
      <c r="AK35" s="326">
        <v>0</v>
      </c>
      <c r="AL35" s="880">
        <f>SUM(AF35:AK35)</f>
        <v>-0.02</v>
      </c>
      <c r="AM35" s="676">
        <f>I35+AE35</f>
        <v>3831673</v>
      </c>
      <c r="AN35" s="492">
        <f>J35+V35</f>
        <v>2820650</v>
      </c>
      <c r="AO35" s="492">
        <f t="shared" ref="AO35:AO38" si="47">K35+Z35</f>
        <v>22000</v>
      </c>
      <c r="AP35" s="492">
        <f t="shared" ref="AP35:AQ38" si="48">L35+AB35</f>
        <v>960816</v>
      </c>
      <c r="AQ35" s="492">
        <f t="shared" si="48"/>
        <v>28207</v>
      </c>
      <c r="AR35" s="492">
        <f t="shared" si="6"/>
        <v>0</v>
      </c>
      <c r="AS35" s="609">
        <f>O35+AL35</f>
        <v>4.4761000000000006</v>
      </c>
    </row>
    <row r="36" spans="1:45" s="67" customFormat="1" ht="14.1" customHeight="1" x14ac:dyDescent="0.2">
      <c r="A36" s="88">
        <v>5</v>
      </c>
      <c r="B36" s="75">
        <v>2453</v>
      </c>
      <c r="C36" s="64">
        <v>600079686</v>
      </c>
      <c r="D36" s="56">
        <v>72743603</v>
      </c>
      <c r="E36" s="75" t="s">
        <v>691</v>
      </c>
      <c r="F36" s="76">
        <v>3117</v>
      </c>
      <c r="G36" s="75" t="s">
        <v>294</v>
      </c>
      <c r="H36" s="66" t="s">
        <v>262</v>
      </c>
      <c r="I36" s="580">
        <v>6035617</v>
      </c>
      <c r="J36" s="14">
        <v>4379567</v>
      </c>
      <c r="K36" s="14">
        <v>98625</v>
      </c>
      <c r="L36" s="14">
        <v>1513629</v>
      </c>
      <c r="M36" s="14">
        <v>43796</v>
      </c>
      <c r="N36" s="14">
        <v>0</v>
      </c>
      <c r="O36" s="633">
        <v>6.3974000000000002</v>
      </c>
      <c r="P36" s="440">
        <f t="shared" si="0"/>
        <v>-8800</v>
      </c>
      <c r="Q36" s="325">
        <v>0</v>
      </c>
      <c r="R36" s="325">
        <v>0</v>
      </c>
      <c r="S36" s="325">
        <v>0</v>
      </c>
      <c r="T36" s="325">
        <v>0</v>
      </c>
      <c r="U36" s="325">
        <v>0</v>
      </c>
      <c r="V36" s="492">
        <f>P36+Q36+R36+S36+T36+U36</f>
        <v>-8800</v>
      </c>
      <c r="W36" s="325">
        <v>8800</v>
      </c>
      <c r="X36" s="325">
        <v>0</v>
      </c>
      <c r="Y36" s="325">
        <v>0</v>
      </c>
      <c r="Z36" s="492">
        <f t="shared" si="44"/>
        <v>8800</v>
      </c>
      <c r="AA36" s="492">
        <f t="shared" si="45"/>
        <v>0</v>
      </c>
      <c r="AB36" s="494">
        <f t="shared" si="46"/>
        <v>0</v>
      </c>
      <c r="AC36" s="55">
        <f>ROUND(V36*1%,0)</f>
        <v>-88</v>
      </c>
      <c r="AD36" s="14">
        <v>0</v>
      </c>
      <c r="AE36" s="605">
        <f t="shared" si="4"/>
        <v>-88</v>
      </c>
      <c r="AF36" s="688">
        <v>0</v>
      </c>
      <c r="AG36" s="326">
        <v>0</v>
      </c>
      <c r="AH36" s="326">
        <v>0</v>
      </c>
      <c r="AI36" s="326">
        <v>0</v>
      </c>
      <c r="AJ36" s="326">
        <v>0</v>
      </c>
      <c r="AK36" s="326">
        <v>0</v>
      </c>
      <c r="AL36" s="880">
        <f>SUM(AF36:AK36)</f>
        <v>0</v>
      </c>
      <c r="AM36" s="676">
        <f>I36+AE36</f>
        <v>6035529</v>
      </c>
      <c r="AN36" s="492">
        <f>J36+V36</f>
        <v>4370767</v>
      </c>
      <c r="AO36" s="492">
        <f t="shared" si="47"/>
        <v>107425</v>
      </c>
      <c r="AP36" s="492">
        <f t="shared" si="48"/>
        <v>1513629</v>
      </c>
      <c r="AQ36" s="492">
        <f t="shared" si="48"/>
        <v>43708</v>
      </c>
      <c r="AR36" s="492">
        <f t="shared" si="6"/>
        <v>0</v>
      </c>
      <c r="AS36" s="609">
        <f>O36+AL36</f>
        <v>6.3974000000000002</v>
      </c>
    </row>
    <row r="37" spans="1:45" s="67" customFormat="1" ht="14.1" customHeight="1" x14ac:dyDescent="0.2">
      <c r="A37" s="88">
        <v>5</v>
      </c>
      <c r="B37" s="73">
        <v>2453</v>
      </c>
      <c r="C37" s="64">
        <v>600079686</v>
      </c>
      <c r="D37" s="56">
        <v>72743603</v>
      </c>
      <c r="E37" s="73" t="s">
        <v>691</v>
      </c>
      <c r="F37" s="65">
        <v>3117</v>
      </c>
      <c r="G37" s="56" t="s">
        <v>278</v>
      </c>
      <c r="H37" s="66" t="s">
        <v>263</v>
      </c>
      <c r="I37" s="580">
        <v>2535485</v>
      </c>
      <c r="J37" s="423">
        <v>1880924</v>
      </c>
      <c r="K37" s="423">
        <v>0</v>
      </c>
      <c r="L37" s="14">
        <v>635752</v>
      </c>
      <c r="M37" s="14">
        <v>18809</v>
      </c>
      <c r="N37" s="14">
        <v>0</v>
      </c>
      <c r="O37" s="698">
        <v>4.59</v>
      </c>
      <c r="P37" s="440">
        <f t="shared" si="0"/>
        <v>0</v>
      </c>
      <c r="Q37" s="325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>P37+Q37+R37+S37+T37+U37</f>
        <v>0</v>
      </c>
      <c r="W37" s="325">
        <v>0</v>
      </c>
      <c r="X37" s="325">
        <v>0</v>
      </c>
      <c r="Y37" s="325">
        <v>0</v>
      </c>
      <c r="Z37" s="492">
        <f t="shared" si="44"/>
        <v>0</v>
      </c>
      <c r="AA37" s="492">
        <f t="shared" si="45"/>
        <v>0</v>
      </c>
      <c r="AB37" s="494">
        <f t="shared" si="46"/>
        <v>0</v>
      </c>
      <c r="AC37" s="55">
        <f>ROUND(V37*1%,0)</f>
        <v>0</v>
      </c>
      <c r="AD37" s="14">
        <v>0</v>
      </c>
      <c r="AE37" s="605">
        <f t="shared" si="4"/>
        <v>0</v>
      </c>
      <c r="AF37" s="688">
        <v>0</v>
      </c>
      <c r="AG37" s="326">
        <v>0</v>
      </c>
      <c r="AH37" s="326">
        <v>0</v>
      </c>
      <c r="AI37" s="326">
        <v>0</v>
      </c>
      <c r="AJ37" s="326">
        <v>0</v>
      </c>
      <c r="AK37" s="326">
        <v>0</v>
      </c>
      <c r="AL37" s="880">
        <f>SUM(AF37:AK37)</f>
        <v>0</v>
      </c>
      <c r="AM37" s="676">
        <f>I37+AE37</f>
        <v>2535485</v>
      </c>
      <c r="AN37" s="492">
        <f>J37+V37</f>
        <v>1880924</v>
      </c>
      <c r="AO37" s="492">
        <f t="shared" si="47"/>
        <v>0</v>
      </c>
      <c r="AP37" s="492">
        <f t="shared" si="48"/>
        <v>635752</v>
      </c>
      <c r="AQ37" s="492">
        <f t="shared" si="48"/>
        <v>18809</v>
      </c>
      <c r="AR37" s="492">
        <f t="shared" si="6"/>
        <v>0</v>
      </c>
      <c r="AS37" s="609">
        <f>O37+AL37</f>
        <v>4.59</v>
      </c>
    </row>
    <row r="38" spans="1:45" s="67" customFormat="1" ht="14.1" customHeight="1" x14ac:dyDescent="0.2">
      <c r="A38" s="88">
        <v>5</v>
      </c>
      <c r="B38" s="56">
        <v>2453</v>
      </c>
      <c r="C38" s="64">
        <v>600079686</v>
      </c>
      <c r="D38" s="56">
        <v>72743603</v>
      </c>
      <c r="E38" s="56" t="s">
        <v>691</v>
      </c>
      <c r="F38" s="65">
        <v>3143</v>
      </c>
      <c r="G38" s="56" t="s">
        <v>795</v>
      </c>
      <c r="H38" s="66" t="s">
        <v>262</v>
      </c>
      <c r="I38" s="580">
        <v>1477185</v>
      </c>
      <c r="J38" s="14">
        <v>1095835</v>
      </c>
      <c r="K38" s="14">
        <v>0</v>
      </c>
      <c r="L38" s="14">
        <v>370392</v>
      </c>
      <c r="M38" s="14">
        <v>10958</v>
      </c>
      <c r="N38" s="14">
        <v>0</v>
      </c>
      <c r="O38" s="633">
        <v>1.9822</v>
      </c>
      <c r="P38" s="440">
        <f t="shared" si="0"/>
        <v>0</v>
      </c>
      <c r="Q38" s="325">
        <v>0</v>
      </c>
      <c r="R38" s="325">
        <v>0</v>
      </c>
      <c r="S38" s="325">
        <v>0</v>
      </c>
      <c r="T38" s="325">
        <v>0</v>
      </c>
      <c r="U38" s="325">
        <v>0</v>
      </c>
      <c r="V38" s="492">
        <f>P38+Q38+R38+S38+T38+U38</f>
        <v>0</v>
      </c>
      <c r="W38" s="325">
        <v>0</v>
      </c>
      <c r="X38" s="325">
        <v>0</v>
      </c>
      <c r="Y38" s="325">
        <v>0</v>
      </c>
      <c r="Z38" s="492">
        <f t="shared" si="44"/>
        <v>0</v>
      </c>
      <c r="AA38" s="492">
        <f t="shared" si="45"/>
        <v>0</v>
      </c>
      <c r="AB38" s="494">
        <f t="shared" si="46"/>
        <v>0</v>
      </c>
      <c r="AC38" s="55">
        <f>ROUND(V38*1%,0)</f>
        <v>0</v>
      </c>
      <c r="AD38" s="14">
        <v>0</v>
      </c>
      <c r="AE38" s="605">
        <f t="shared" si="4"/>
        <v>0</v>
      </c>
      <c r="AF38" s="688">
        <v>0</v>
      </c>
      <c r="AG38" s="326">
        <v>0</v>
      </c>
      <c r="AH38" s="326">
        <v>0</v>
      </c>
      <c r="AI38" s="326">
        <v>0</v>
      </c>
      <c r="AJ38" s="326">
        <v>0</v>
      </c>
      <c r="AK38" s="326">
        <v>0</v>
      </c>
      <c r="AL38" s="880">
        <f>SUM(AF38:AK38)</f>
        <v>0</v>
      </c>
      <c r="AM38" s="676">
        <f>I38+AE38</f>
        <v>1477185</v>
      </c>
      <c r="AN38" s="492">
        <f>J38+V38</f>
        <v>1095835</v>
      </c>
      <c r="AO38" s="492">
        <f t="shared" si="47"/>
        <v>0</v>
      </c>
      <c r="AP38" s="492">
        <f t="shared" si="48"/>
        <v>370392</v>
      </c>
      <c r="AQ38" s="492">
        <f t="shared" si="48"/>
        <v>10958</v>
      </c>
      <c r="AR38" s="492">
        <f t="shared" si="6"/>
        <v>0</v>
      </c>
      <c r="AS38" s="609">
        <f>O38+AL38</f>
        <v>1.9822</v>
      </c>
    </row>
    <row r="39" spans="1:45" s="67" customFormat="1" ht="14.1" customHeight="1" x14ac:dyDescent="0.2">
      <c r="A39" s="89">
        <v>5</v>
      </c>
      <c r="B39" s="68">
        <v>2453</v>
      </c>
      <c r="C39" s="69">
        <v>600079686</v>
      </c>
      <c r="D39" s="68">
        <v>72743603</v>
      </c>
      <c r="E39" s="68" t="s">
        <v>692</v>
      </c>
      <c r="F39" s="77"/>
      <c r="G39" s="71"/>
      <c r="H39" s="72"/>
      <c r="I39" s="581">
        <v>13880048</v>
      </c>
      <c r="J39" s="334">
        <v>10185776</v>
      </c>
      <c r="K39" s="334">
        <v>111825</v>
      </c>
      <c r="L39" s="334">
        <v>3480589</v>
      </c>
      <c r="M39" s="334">
        <v>101858</v>
      </c>
      <c r="N39" s="334">
        <v>0</v>
      </c>
      <c r="O39" s="74">
        <v>17.465699999999998</v>
      </c>
      <c r="P39" s="692">
        <f t="shared" ref="P39:Z39" si="49">SUM(P35:P38)</f>
        <v>-17600</v>
      </c>
      <c r="Q39" s="334">
        <f t="shared" si="49"/>
        <v>0</v>
      </c>
      <c r="R39" s="334">
        <f t="shared" si="49"/>
        <v>0</v>
      </c>
      <c r="S39" s="334">
        <f t="shared" si="49"/>
        <v>0</v>
      </c>
      <c r="T39" s="334">
        <f t="shared" si="49"/>
        <v>0</v>
      </c>
      <c r="U39" s="334">
        <f t="shared" si="49"/>
        <v>0</v>
      </c>
      <c r="V39" s="334">
        <f t="shared" si="49"/>
        <v>-17600</v>
      </c>
      <c r="W39" s="334">
        <f t="shared" si="49"/>
        <v>17600</v>
      </c>
      <c r="X39" s="334">
        <f t="shared" si="49"/>
        <v>0</v>
      </c>
      <c r="Y39" s="334">
        <f t="shared" si="49"/>
        <v>0</v>
      </c>
      <c r="Z39" s="334">
        <f t="shared" si="49"/>
        <v>17600</v>
      </c>
      <c r="AA39" s="334">
        <f t="shared" ref="AA39:AS39" si="50">SUM(AA35:AA38)</f>
        <v>0</v>
      </c>
      <c r="AB39" s="334">
        <f t="shared" si="50"/>
        <v>0</v>
      </c>
      <c r="AC39" s="334">
        <f t="shared" si="50"/>
        <v>-176</v>
      </c>
      <c r="AD39" s="334">
        <f t="shared" si="50"/>
        <v>0</v>
      </c>
      <c r="AE39" s="685">
        <f t="shared" si="50"/>
        <v>-176</v>
      </c>
      <c r="AF39" s="689">
        <f t="shared" si="50"/>
        <v>-0.02</v>
      </c>
      <c r="AG39" s="335">
        <f t="shared" si="50"/>
        <v>0</v>
      </c>
      <c r="AH39" s="335">
        <f t="shared" si="50"/>
        <v>0</v>
      </c>
      <c r="AI39" s="335">
        <f t="shared" si="50"/>
        <v>0</v>
      </c>
      <c r="AJ39" s="335">
        <f t="shared" si="50"/>
        <v>0</v>
      </c>
      <c r="AK39" s="335">
        <f t="shared" si="50"/>
        <v>0</v>
      </c>
      <c r="AL39" s="881">
        <f t="shared" si="50"/>
        <v>-0.02</v>
      </c>
      <c r="AM39" s="581">
        <f t="shared" si="50"/>
        <v>13879872</v>
      </c>
      <c r="AN39" s="334">
        <f t="shared" si="50"/>
        <v>10168176</v>
      </c>
      <c r="AO39" s="334">
        <f t="shared" si="50"/>
        <v>129425</v>
      </c>
      <c r="AP39" s="334">
        <f t="shared" si="50"/>
        <v>3480589</v>
      </c>
      <c r="AQ39" s="334">
        <f t="shared" si="50"/>
        <v>101682</v>
      </c>
      <c r="AR39" s="334">
        <f t="shared" si="50"/>
        <v>0</v>
      </c>
      <c r="AS39" s="74">
        <f t="shared" si="50"/>
        <v>17.445699999999999</v>
      </c>
    </row>
    <row r="40" spans="1:45" s="67" customFormat="1" ht="14.1" customHeight="1" x14ac:dyDescent="0.2">
      <c r="A40" s="88">
        <v>6</v>
      </c>
      <c r="B40" s="73">
        <v>2320</v>
      </c>
      <c r="C40" s="64">
        <v>650034180</v>
      </c>
      <c r="D40" s="56">
        <v>72755369</v>
      </c>
      <c r="E40" s="56" t="s">
        <v>693</v>
      </c>
      <c r="F40" s="65">
        <v>3111</v>
      </c>
      <c r="G40" s="56" t="s">
        <v>277</v>
      </c>
      <c r="H40" s="66" t="s">
        <v>262</v>
      </c>
      <c r="I40" s="580">
        <v>3082180</v>
      </c>
      <c r="J40" s="14">
        <v>2283506</v>
      </c>
      <c r="K40" s="14">
        <v>3000</v>
      </c>
      <c r="L40" s="14">
        <v>772839</v>
      </c>
      <c r="M40" s="14">
        <v>22835</v>
      </c>
      <c r="N40" s="14">
        <v>0</v>
      </c>
      <c r="O40" s="633">
        <v>4</v>
      </c>
      <c r="P40" s="440">
        <f t="shared" si="0"/>
        <v>-2000</v>
      </c>
      <c r="Q40" s="325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>P40+Q40+R40+S40+T40+U40</f>
        <v>-2000</v>
      </c>
      <c r="W40" s="325">
        <v>2000</v>
      </c>
      <c r="X40" s="325">
        <v>0</v>
      </c>
      <c r="Y40" s="325">
        <v>0</v>
      </c>
      <c r="Z40" s="492">
        <f t="shared" ref="Z40:Z43" si="51">W40+X40+Y40</f>
        <v>2000</v>
      </c>
      <c r="AA40" s="492">
        <f t="shared" ref="AA40:AA43" si="52">V40+Z40</f>
        <v>0</v>
      </c>
      <c r="AB40" s="494">
        <f t="shared" ref="AB40:AB43" si="53">ROUND((V40+Z40)*33.8%,0)</f>
        <v>0</v>
      </c>
      <c r="AC40" s="55">
        <f>ROUND(V40*1%,0)</f>
        <v>-20</v>
      </c>
      <c r="AD40" s="14">
        <v>0</v>
      </c>
      <c r="AE40" s="605">
        <f t="shared" si="4"/>
        <v>-20</v>
      </c>
      <c r="AF40" s="688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880">
        <f>SUM(AF40:AK40)</f>
        <v>0</v>
      </c>
      <c r="AM40" s="676">
        <f>I40+AE40</f>
        <v>3082160</v>
      </c>
      <c r="AN40" s="492">
        <f>J40+V40</f>
        <v>2281506</v>
      </c>
      <c r="AO40" s="492">
        <f t="shared" ref="AO40:AO43" si="54">K40+Z40</f>
        <v>5000</v>
      </c>
      <c r="AP40" s="492">
        <f t="shared" ref="AP40:AQ43" si="55">L40+AB40</f>
        <v>772839</v>
      </c>
      <c r="AQ40" s="492">
        <f t="shared" si="55"/>
        <v>22815</v>
      </c>
      <c r="AR40" s="492">
        <f t="shared" si="6"/>
        <v>0</v>
      </c>
      <c r="AS40" s="609">
        <f>O40+AL40</f>
        <v>4</v>
      </c>
    </row>
    <row r="41" spans="1:45" s="67" customFormat="1" ht="14.1" customHeight="1" x14ac:dyDescent="0.2">
      <c r="A41" s="88">
        <v>6</v>
      </c>
      <c r="B41" s="75">
        <v>2320</v>
      </c>
      <c r="C41" s="64">
        <v>650034180</v>
      </c>
      <c r="D41" s="56">
        <v>72755369</v>
      </c>
      <c r="E41" s="75" t="s">
        <v>693</v>
      </c>
      <c r="F41" s="76">
        <v>3117</v>
      </c>
      <c r="G41" s="75" t="s">
        <v>280</v>
      </c>
      <c r="H41" s="66" t="s">
        <v>262</v>
      </c>
      <c r="I41" s="580">
        <v>3922950</v>
      </c>
      <c r="J41" s="14">
        <v>2901267</v>
      </c>
      <c r="K41" s="14">
        <v>9000</v>
      </c>
      <c r="L41" s="14">
        <v>983670</v>
      </c>
      <c r="M41" s="14">
        <v>29013</v>
      </c>
      <c r="N41" s="14">
        <v>0</v>
      </c>
      <c r="O41" s="633">
        <v>4.1363000000000003</v>
      </c>
      <c r="P41" s="440">
        <f t="shared" si="0"/>
        <v>-6000</v>
      </c>
      <c r="Q41" s="325">
        <v>0</v>
      </c>
      <c r="R41" s="325">
        <v>0</v>
      </c>
      <c r="S41" s="325">
        <v>0</v>
      </c>
      <c r="T41" s="325">
        <v>0</v>
      </c>
      <c r="U41" s="325">
        <v>0</v>
      </c>
      <c r="V41" s="492">
        <f>P41+Q41+R41+S41+T41+U41</f>
        <v>-6000</v>
      </c>
      <c r="W41" s="325">
        <v>6000</v>
      </c>
      <c r="X41" s="325">
        <v>0</v>
      </c>
      <c r="Y41" s="325">
        <v>0</v>
      </c>
      <c r="Z41" s="492">
        <f t="shared" si="51"/>
        <v>6000</v>
      </c>
      <c r="AA41" s="492">
        <f t="shared" si="52"/>
        <v>0</v>
      </c>
      <c r="AB41" s="494">
        <f t="shared" si="53"/>
        <v>0</v>
      </c>
      <c r="AC41" s="55">
        <f>ROUND(V41*1%,0)</f>
        <v>-60</v>
      </c>
      <c r="AD41" s="14">
        <v>0</v>
      </c>
      <c r="AE41" s="605">
        <f t="shared" si="4"/>
        <v>-60</v>
      </c>
      <c r="AF41" s="688">
        <v>-0.01</v>
      </c>
      <c r="AG41" s="326">
        <v>0</v>
      </c>
      <c r="AH41" s="326">
        <v>0</v>
      </c>
      <c r="AI41" s="326">
        <v>0</v>
      </c>
      <c r="AJ41" s="326">
        <v>0</v>
      </c>
      <c r="AK41" s="326">
        <v>0</v>
      </c>
      <c r="AL41" s="880">
        <f>SUM(AF41:AK41)</f>
        <v>-0.01</v>
      </c>
      <c r="AM41" s="676">
        <f>I41+AE41</f>
        <v>3922890</v>
      </c>
      <c r="AN41" s="492">
        <f>J41+V41</f>
        <v>2895267</v>
      </c>
      <c r="AO41" s="492">
        <f t="shared" si="54"/>
        <v>15000</v>
      </c>
      <c r="AP41" s="492">
        <f t="shared" si="55"/>
        <v>983670</v>
      </c>
      <c r="AQ41" s="492">
        <f t="shared" si="55"/>
        <v>28953</v>
      </c>
      <c r="AR41" s="492">
        <f t="shared" si="6"/>
        <v>0</v>
      </c>
      <c r="AS41" s="609">
        <f>O41+AL41</f>
        <v>4.1263000000000005</v>
      </c>
    </row>
    <row r="42" spans="1:45" s="67" customFormat="1" ht="14.1" customHeight="1" x14ac:dyDescent="0.2">
      <c r="A42" s="88">
        <v>6</v>
      </c>
      <c r="B42" s="73">
        <v>2320</v>
      </c>
      <c r="C42" s="64">
        <v>650034180</v>
      </c>
      <c r="D42" s="56">
        <v>72755369</v>
      </c>
      <c r="E42" s="73" t="s">
        <v>693</v>
      </c>
      <c r="F42" s="65">
        <v>3117</v>
      </c>
      <c r="G42" s="56" t="s">
        <v>278</v>
      </c>
      <c r="H42" s="66" t="s">
        <v>263</v>
      </c>
      <c r="I42" s="580">
        <v>609256</v>
      </c>
      <c r="J42" s="423">
        <v>451970</v>
      </c>
      <c r="K42" s="423">
        <v>0</v>
      </c>
      <c r="L42" s="14">
        <v>152766</v>
      </c>
      <c r="M42" s="14">
        <v>4520</v>
      </c>
      <c r="N42" s="14">
        <v>0</v>
      </c>
      <c r="O42" s="698">
        <v>1.1400000000000001</v>
      </c>
      <c r="P42" s="440">
        <f t="shared" si="0"/>
        <v>0</v>
      </c>
      <c r="Q42" s="325">
        <v>0</v>
      </c>
      <c r="R42" s="325">
        <v>0</v>
      </c>
      <c r="S42" s="325">
        <v>0</v>
      </c>
      <c r="T42" s="325">
        <v>0</v>
      </c>
      <c r="U42" s="325">
        <v>0</v>
      </c>
      <c r="V42" s="492">
        <f>P42+Q42+R42+S42+T42+U42</f>
        <v>0</v>
      </c>
      <c r="W42" s="325">
        <v>0</v>
      </c>
      <c r="X42" s="325">
        <v>0</v>
      </c>
      <c r="Y42" s="325">
        <v>0</v>
      </c>
      <c r="Z42" s="492">
        <f t="shared" si="51"/>
        <v>0</v>
      </c>
      <c r="AA42" s="492">
        <f t="shared" si="52"/>
        <v>0</v>
      </c>
      <c r="AB42" s="494">
        <f t="shared" si="53"/>
        <v>0</v>
      </c>
      <c r="AC42" s="55">
        <f>ROUND(V42*1%,0)</f>
        <v>0</v>
      </c>
      <c r="AD42" s="14">
        <v>0</v>
      </c>
      <c r="AE42" s="605">
        <f t="shared" si="4"/>
        <v>0</v>
      </c>
      <c r="AF42" s="688">
        <v>0</v>
      </c>
      <c r="AG42" s="326">
        <v>0</v>
      </c>
      <c r="AH42" s="326">
        <v>0</v>
      </c>
      <c r="AI42" s="326">
        <v>0</v>
      </c>
      <c r="AJ42" s="326">
        <v>0</v>
      </c>
      <c r="AK42" s="326">
        <v>0</v>
      </c>
      <c r="AL42" s="880">
        <f>SUM(AF42:AK42)</f>
        <v>0</v>
      </c>
      <c r="AM42" s="676">
        <f>I42+AE42</f>
        <v>609256</v>
      </c>
      <c r="AN42" s="492">
        <f>J42+V42</f>
        <v>451970</v>
      </c>
      <c r="AO42" s="492">
        <f t="shared" si="54"/>
        <v>0</v>
      </c>
      <c r="AP42" s="492">
        <f t="shared" si="55"/>
        <v>152766</v>
      </c>
      <c r="AQ42" s="492">
        <f t="shared" si="55"/>
        <v>4520</v>
      </c>
      <c r="AR42" s="492">
        <f t="shared" si="6"/>
        <v>0</v>
      </c>
      <c r="AS42" s="609">
        <f>O42+AL42</f>
        <v>1.1400000000000001</v>
      </c>
    </row>
    <row r="43" spans="1:45" s="67" customFormat="1" ht="14.1" customHeight="1" x14ac:dyDescent="0.2">
      <c r="A43" s="88">
        <v>6</v>
      </c>
      <c r="B43" s="56">
        <v>2320</v>
      </c>
      <c r="C43" s="64">
        <v>650034180</v>
      </c>
      <c r="D43" s="56">
        <v>72755369</v>
      </c>
      <c r="E43" s="56" t="s">
        <v>693</v>
      </c>
      <c r="F43" s="65">
        <v>3143</v>
      </c>
      <c r="G43" s="56" t="s">
        <v>794</v>
      </c>
      <c r="H43" s="66" t="s">
        <v>262</v>
      </c>
      <c r="I43" s="580">
        <v>989292</v>
      </c>
      <c r="J43" s="14">
        <v>733896</v>
      </c>
      <c r="K43" s="14">
        <v>0</v>
      </c>
      <c r="L43" s="14">
        <v>248057</v>
      </c>
      <c r="M43" s="14">
        <v>7339</v>
      </c>
      <c r="N43" s="14">
        <v>0</v>
      </c>
      <c r="O43" s="633">
        <v>1.458</v>
      </c>
      <c r="P43" s="440">
        <f t="shared" si="0"/>
        <v>0</v>
      </c>
      <c r="Q43" s="325">
        <v>0</v>
      </c>
      <c r="R43" s="325">
        <v>0</v>
      </c>
      <c r="S43" s="325">
        <v>0</v>
      </c>
      <c r="T43" s="325">
        <v>0</v>
      </c>
      <c r="U43" s="325">
        <v>0</v>
      </c>
      <c r="V43" s="492">
        <f>P43+Q43+R43+S43+T43+U43</f>
        <v>0</v>
      </c>
      <c r="W43" s="325">
        <v>0</v>
      </c>
      <c r="X43" s="325">
        <v>0</v>
      </c>
      <c r="Y43" s="325">
        <v>0</v>
      </c>
      <c r="Z43" s="492">
        <f t="shared" si="51"/>
        <v>0</v>
      </c>
      <c r="AA43" s="492">
        <f t="shared" si="52"/>
        <v>0</v>
      </c>
      <c r="AB43" s="494">
        <f t="shared" si="53"/>
        <v>0</v>
      </c>
      <c r="AC43" s="55">
        <f>ROUND(V43*1%,0)</f>
        <v>0</v>
      </c>
      <c r="AD43" s="14">
        <v>0</v>
      </c>
      <c r="AE43" s="605">
        <f t="shared" si="4"/>
        <v>0</v>
      </c>
      <c r="AF43" s="688">
        <v>0</v>
      </c>
      <c r="AG43" s="326">
        <v>0</v>
      </c>
      <c r="AH43" s="326">
        <v>0</v>
      </c>
      <c r="AI43" s="326">
        <v>0</v>
      </c>
      <c r="AJ43" s="326">
        <v>0</v>
      </c>
      <c r="AK43" s="326">
        <v>0</v>
      </c>
      <c r="AL43" s="880">
        <f>SUM(AF43:AK43)</f>
        <v>0</v>
      </c>
      <c r="AM43" s="676">
        <f>I43+AE43</f>
        <v>989292</v>
      </c>
      <c r="AN43" s="492">
        <f>J43+V43</f>
        <v>733896</v>
      </c>
      <c r="AO43" s="492">
        <f t="shared" si="54"/>
        <v>0</v>
      </c>
      <c r="AP43" s="492">
        <f t="shared" si="55"/>
        <v>248057</v>
      </c>
      <c r="AQ43" s="492">
        <f t="shared" si="55"/>
        <v>7339</v>
      </c>
      <c r="AR43" s="492">
        <f t="shared" si="6"/>
        <v>0</v>
      </c>
      <c r="AS43" s="609">
        <f>O43+AL43</f>
        <v>1.458</v>
      </c>
    </row>
    <row r="44" spans="1:45" s="67" customFormat="1" ht="14.1" customHeight="1" x14ac:dyDescent="0.2">
      <c r="A44" s="89">
        <v>6</v>
      </c>
      <c r="B44" s="68">
        <v>2320</v>
      </c>
      <c r="C44" s="69">
        <v>650034180</v>
      </c>
      <c r="D44" s="68">
        <v>72755369</v>
      </c>
      <c r="E44" s="68" t="s">
        <v>694</v>
      </c>
      <c r="F44" s="77"/>
      <c r="G44" s="71"/>
      <c r="H44" s="72"/>
      <c r="I44" s="581">
        <v>8603678</v>
      </c>
      <c r="J44" s="334">
        <v>6370639</v>
      </c>
      <c r="K44" s="334">
        <v>12000</v>
      </c>
      <c r="L44" s="334">
        <v>2157332</v>
      </c>
      <c r="M44" s="334">
        <v>63707</v>
      </c>
      <c r="N44" s="334">
        <v>0</v>
      </c>
      <c r="O44" s="74">
        <v>10.734300000000001</v>
      </c>
      <c r="P44" s="692">
        <f t="shared" ref="P44:Z44" si="56">SUM(P40:P43)</f>
        <v>-8000</v>
      </c>
      <c r="Q44" s="334">
        <f t="shared" si="56"/>
        <v>0</v>
      </c>
      <c r="R44" s="334">
        <f t="shared" si="56"/>
        <v>0</v>
      </c>
      <c r="S44" s="334">
        <f t="shared" si="56"/>
        <v>0</v>
      </c>
      <c r="T44" s="334">
        <f t="shared" si="56"/>
        <v>0</v>
      </c>
      <c r="U44" s="334">
        <f t="shared" si="56"/>
        <v>0</v>
      </c>
      <c r="V44" s="334">
        <f t="shared" si="56"/>
        <v>-8000</v>
      </c>
      <c r="W44" s="334">
        <f t="shared" si="56"/>
        <v>8000</v>
      </c>
      <c r="X44" s="334">
        <f t="shared" si="56"/>
        <v>0</v>
      </c>
      <c r="Y44" s="334">
        <f t="shared" si="56"/>
        <v>0</v>
      </c>
      <c r="Z44" s="334">
        <f t="shared" si="56"/>
        <v>8000</v>
      </c>
      <c r="AA44" s="334">
        <f t="shared" ref="AA44:AS44" si="57">SUM(AA40:AA43)</f>
        <v>0</v>
      </c>
      <c r="AB44" s="334">
        <f t="shared" si="57"/>
        <v>0</v>
      </c>
      <c r="AC44" s="334">
        <f t="shared" si="57"/>
        <v>-80</v>
      </c>
      <c r="AD44" s="334">
        <f t="shared" si="57"/>
        <v>0</v>
      </c>
      <c r="AE44" s="685">
        <f t="shared" si="57"/>
        <v>-80</v>
      </c>
      <c r="AF44" s="689">
        <f t="shared" si="57"/>
        <v>-0.01</v>
      </c>
      <c r="AG44" s="335">
        <f t="shared" si="57"/>
        <v>0</v>
      </c>
      <c r="AH44" s="335">
        <f t="shared" si="57"/>
        <v>0</v>
      </c>
      <c r="AI44" s="335">
        <f t="shared" si="57"/>
        <v>0</v>
      </c>
      <c r="AJ44" s="335">
        <f t="shared" si="57"/>
        <v>0</v>
      </c>
      <c r="AK44" s="335">
        <f t="shared" si="57"/>
        <v>0</v>
      </c>
      <c r="AL44" s="881">
        <f t="shared" si="57"/>
        <v>-0.01</v>
      </c>
      <c r="AM44" s="581">
        <f t="shared" si="57"/>
        <v>8603598</v>
      </c>
      <c r="AN44" s="334">
        <f t="shared" si="57"/>
        <v>6362639</v>
      </c>
      <c r="AO44" s="334">
        <f t="shared" si="57"/>
        <v>20000</v>
      </c>
      <c r="AP44" s="334">
        <f t="shared" si="57"/>
        <v>2157332</v>
      </c>
      <c r="AQ44" s="334">
        <f t="shared" si="57"/>
        <v>63627</v>
      </c>
      <c r="AR44" s="334">
        <f t="shared" si="57"/>
        <v>0</v>
      </c>
      <c r="AS44" s="74">
        <f t="shared" si="57"/>
        <v>10.724300000000001</v>
      </c>
    </row>
    <row r="45" spans="1:45" s="67" customFormat="1" ht="14.1" customHeight="1" x14ac:dyDescent="0.2">
      <c r="A45" s="88">
        <v>7</v>
      </c>
      <c r="B45" s="73">
        <v>2455</v>
      </c>
      <c r="C45" s="64">
        <v>600080145</v>
      </c>
      <c r="D45" s="56">
        <v>72741601</v>
      </c>
      <c r="E45" s="56" t="s">
        <v>695</v>
      </c>
      <c r="F45" s="65">
        <v>3111</v>
      </c>
      <c r="G45" s="56" t="s">
        <v>277</v>
      </c>
      <c r="H45" s="66" t="s">
        <v>262</v>
      </c>
      <c r="I45" s="580">
        <v>1624060</v>
      </c>
      <c r="J45" s="14">
        <v>1204792</v>
      </c>
      <c r="K45" s="14">
        <v>0</v>
      </c>
      <c r="L45" s="14">
        <v>407220</v>
      </c>
      <c r="M45" s="14">
        <v>12048</v>
      </c>
      <c r="N45" s="14">
        <v>0</v>
      </c>
      <c r="O45" s="633">
        <v>2</v>
      </c>
      <c r="P45" s="440">
        <f t="shared" si="0"/>
        <v>0</v>
      </c>
      <c r="Q45" s="325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>P45+Q45+R45+S45+T45+U45</f>
        <v>0</v>
      </c>
      <c r="W45" s="325">
        <v>0</v>
      </c>
      <c r="X45" s="325">
        <v>0</v>
      </c>
      <c r="Y45" s="325">
        <v>0</v>
      </c>
      <c r="Z45" s="492">
        <f t="shared" ref="Z45:Z48" si="58">W45+X45+Y45</f>
        <v>0</v>
      </c>
      <c r="AA45" s="492">
        <f t="shared" ref="AA45:AA48" si="59">V45+Z45</f>
        <v>0</v>
      </c>
      <c r="AB45" s="494">
        <f t="shared" ref="AB45:AB48" si="60">ROUND((V45+Z45)*33.8%,0)</f>
        <v>0</v>
      </c>
      <c r="AC45" s="55">
        <f>ROUND(V45*1%,0)</f>
        <v>0</v>
      </c>
      <c r="AD45" s="14">
        <v>0</v>
      </c>
      <c r="AE45" s="605">
        <f t="shared" si="4"/>
        <v>0</v>
      </c>
      <c r="AF45" s="688">
        <v>0</v>
      </c>
      <c r="AG45" s="326">
        <v>0</v>
      </c>
      <c r="AH45" s="326">
        <v>0</v>
      </c>
      <c r="AI45" s="326">
        <v>0</v>
      </c>
      <c r="AJ45" s="326">
        <v>0</v>
      </c>
      <c r="AK45" s="326">
        <v>0</v>
      </c>
      <c r="AL45" s="880">
        <f>SUM(AF45:AK45)</f>
        <v>0</v>
      </c>
      <c r="AM45" s="676">
        <f>I45+AE45</f>
        <v>1624060</v>
      </c>
      <c r="AN45" s="492">
        <f>J45+V45</f>
        <v>1204792</v>
      </c>
      <c r="AO45" s="492">
        <f t="shared" ref="AO45:AO48" si="61">K45+Z45</f>
        <v>0</v>
      </c>
      <c r="AP45" s="492">
        <f t="shared" ref="AP45:AQ48" si="62">L45+AB45</f>
        <v>407220</v>
      </c>
      <c r="AQ45" s="492">
        <f t="shared" si="62"/>
        <v>12048</v>
      </c>
      <c r="AR45" s="492">
        <f t="shared" si="6"/>
        <v>0</v>
      </c>
      <c r="AS45" s="609">
        <f>O45+AL45</f>
        <v>2</v>
      </c>
    </row>
    <row r="46" spans="1:45" s="67" customFormat="1" ht="14.1" customHeight="1" x14ac:dyDescent="0.2">
      <c r="A46" s="88">
        <v>7</v>
      </c>
      <c r="B46" s="75">
        <v>2455</v>
      </c>
      <c r="C46" s="64">
        <v>600080145</v>
      </c>
      <c r="D46" s="56">
        <v>72741601</v>
      </c>
      <c r="E46" s="75" t="s">
        <v>695</v>
      </c>
      <c r="F46" s="76">
        <v>3117</v>
      </c>
      <c r="G46" s="75" t="s">
        <v>294</v>
      </c>
      <c r="H46" s="66" t="s">
        <v>262</v>
      </c>
      <c r="I46" s="580">
        <v>2955472</v>
      </c>
      <c r="J46" s="14">
        <v>2192487</v>
      </c>
      <c r="K46" s="14">
        <v>0</v>
      </c>
      <c r="L46" s="14">
        <v>741060</v>
      </c>
      <c r="M46" s="14">
        <v>21925</v>
      </c>
      <c r="N46" s="14">
        <v>0</v>
      </c>
      <c r="O46" s="633">
        <v>3.4091</v>
      </c>
      <c r="P46" s="440">
        <f t="shared" si="0"/>
        <v>0</v>
      </c>
      <c r="Q46" s="325">
        <v>0</v>
      </c>
      <c r="R46" s="325">
        <v>0</v>
      </c>
      <c r="S46" s="325">
        <v>0</v>
      </c>
      <c r="T46" s="325">
        <v>0</v>
      </c>
      <c r="U46" s="325">
        <v>0</v>
      </c>
      <c r="V46" s="492">
        <f>P46+Q46+R46+S46+T46+U46</f>
        <v>0</v>
      </c>
      <c r="W46" s="325">
        <v>0</v>
      </c>
      <c r="X46" s="325">
        <v>0</v>
      </c>
      <c r="Y46" s="325">
        <v>0</v>
      </c>
      <c r="Z46" s="492">
        <f t="shared" si="58"/>
        <v>0</v>
      </c>
      <c r="AA46" s="492">
        <f t="shared" si="59"/>
        <v>0</v>
      </c>
      <c r="AB46" s="494">
        <f t="shared" si="60"/>
        <v>0</v>
      </c>
      <c r="AC46" s="55">
        <f>ROUND(V46*1%,0)</f>
        <v>0</v>
      </c>
      <c r="AD46" s="14">
        <v>0</v>
      </c>
      <c r="AE46" s="605">
        <f t="shared" si="4"/>
        <v>0</v>
      </c>
      <c r="AF46" s="688">
        <v>0</v>
      </c>
      <c r="AG46" s="326">
        <v>0</v>
      </c>
      <c r="AH46" s="326">
        <v>0</v>
      </c>
      <c r="AI46" s="326">
        <v>0</v>
      </c>
      <c r="AJ46" s="326">
        <v>0</v>
      </c>
      <c r="AK46" s="326">
        <v>0</v>
      </c>
      <c r="AL46" s="880">
        <f>SUM(AF46:AK46)</f>
        <v>0</v>
      </c>
      <c r="AM46" s="676">
        <f>I46+AE46</f>
        <v>2955472</v>
      </c>
      <c r="AN46" s="492">
        <f>J46+V46</f>
        <v>2192487</v>
      </c>
      <c r="AO46" s="492">
        <f t="shared" si="61"/>
        <v>0</v>
      </c>
      <c r="AP46" s="492">
        <f t="shared" si="62"/>
        <v>741060</v>
      </c>
      <c r="AQ46" s="492">
        <f t="shared" si="62"/>
        <v>21925</v>
      </c>
      <c r="AR46" s="492">
        <f t="shared" si="6"/>
        <v>0</v>
      </c>
      <c r="AS46" s="609">
        <f>O46+AL46</f>
        <v>3.4091</v>
      </c>
    </row>
    <row r="47" spans="1:45" s="67" customFormat="1" ht="14.1" customHeight="1" x14ac:dyDescent="0.2">
      <c r="A47" s="88">
        <v>7</v>
      </c>
      <c r="B47" s="73">
        <v>2455</v>
      </c>
      <c r="C47" s="64">
        <v>600080145</v>
      </c>
      <c r="D47" s="56">
        <v>72741601</v>
      </c>
      <c r="E47" s="73" t="s">
        <v>695</v>
      </c>
      <c r="F47" s="65">
        <v>3117</v>
      </c>
      <c r="G47" s="56" t="s">
        <v>278</v>
      </c>
      <c r="H47" s="66" t="s">
        <v>263</v>
      </c>
      <c r="I47" s="580">
        <v>303184</v>
      </c>
      <c r="J47" s="423">
        <v>224914</v>
      </c>
      <c r="K47" s="423">
        <v>0</v>
      </c>
      <c r="L47" s="14">
        <v>76021</v>
      </c>
      <c r="M47" s="14">
        <v>2249</v>
      </c>
      <c r="N47" s="14">
        <v>0</v>
      </c>
      <c r="O47" s="698">
        <v>0.55000000000000004</v>
      </c>
      <c r="P47" s="440">
        <f t="shared" si="0"/>
        <v>0</v>
      </c>
      <c r="Q47" s="325">
        <v>0</v>
      </c>
      <c r="R47" s="325">
        <v>0</v>
      </c>
      <c r="S47" s="325">
        <v>0</v>
      </c>
      <c r="T47" s="325">
        <v>0</v>
      </c>
      <c r="U47" s="325">
        <v>0</v>
      </c>
      <c r="V47" s="492">
        <f>P47+Q47+R47+S47+T47+U47</f>
        <v>0</v>
      </c>
      <c r="W47" s="325">
        <v>0</v>
      </c>
      <c r="X47" s="325">
        <v>0</v>
      </c>
      <c r="Y47" s="325">
        <v>0</v>
      </c>
      <c r="Z47" s="492">
        <f t="shared" si="58"/>
        <v>0</v>
      </c>
      <c r="AA47" s="492">
        <f t="shared" si="59"/>
        <v>0</v>
      </c>
      <c r="AB47" s="494">
        <f t="shared" si="60"/>
        <v>0</v>
      </c>
      <c r="AC47" s="55">
        <f>ROUND(V47*1%,0)</f>
        <v>0</v>
      </c>
      <c r="AD47" s="14">
        <v>0</v>
      </c>
      <c r="AE47" s="605">
        <f t="shared" si="4"/>
        <v>0</v>
      </c>
      <c r="AF47" s="688">
        <v>0</v>
      </c>
      <c r="AG47" s="326">
        <v>0</v>
      </c>
      <c r="AH47" s="326">
        <v>0</v>
      </c>
      <c r="AI47" s="326">
        <v>0</v>
      </c>
      <c r="AJ47" s="326">
        <v>0</v>
      </c>
      <c r="AK47" s="326">
        <v>0</v>
      </c>
      <c r="AL47" s="880">
        <f>SUM(AF47:AK47)</f>
        <v>0</v>
      </c>
      <c r="AM47" s="676">
        <f>I47+AE47</f>
        <v>303184</v>
      </c>
      <c r="AN47" s="492">
        <f>J47+V47</f>
        <v>224914</v>
      </c>
      <c r="AO47" s="492">
        <f t="shared" si="61"/>
        <v>0</v>
      </c>
      <c r="AP47" s="492">
        <f t="shared" si="62"/>
        <v>76021</v>
      </c>
      <c r="AQ47" s="492">
        <f t="shared" si="62"/>
        <v>2249</v>
      </c>
      <c r="AR47" s="492">
        <f t="shared" si="6"/>
        <v>0</v>
      </c>
      <c r="AS47" s="609">
        <f>O47+AL47</f>
        <v>0.55000000000000004</v>
      </c>
    </row>
    <row r="48" spans="1:45" s="67" customFormat="1" ht="14.1" customHeight="1" x14ac:dyDescent="0.2">
      <c r="A48" s="88">
        <v>7</v>
      </c>
      <c r="B48" s="56">
        <v>2455</v>
      </c>
      <c r="C48" s="64">
        <v>600080145</v>
      </c>
      <c r="D48" s="56">
        <v>72741601</v>
      </c>
      <c r="E48" s="56" t="s">
        <v>695</v>
      </c>
      <c r="F48" s="65">
        <v>3143</v>
      </c>
      <c r="G48" s="56" t="s">
        <v>794</v>
      </c>
      <c r="H48" s="66" t="s">
        <v>262</v>
      </c>
      <c r="I48" s="580">
        <v>948249</v>
      </c>
      <c r="J48" s="14">
        <v>703449</v>
      </c>
      <c r="K48" s="14">
        <v>0</v>
      </c>
      <c r="L48" s="14">
        <v>237766</v>
      </c>
      <c r="M48" s="14">
        <v>7034</v>
      </c>
      <c r="N48" s="14">
        <v>0</v>
      </c>
      <c r="O48" s="633">
        <v>1.4375</v>
      </c>
      <c r="P48" s="440">
        <f t="shared" si="0"/>
        <v>0</v>
      </c>
      <c r="Q48" s="325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>P48+Q48+R48+S48+T48+U48</f>
        <v>0</v>
      </c>
      <c r="W48" s="325">
        <v>0</v>
      </c>
      <c r="X48" s="325">
        <v>0</v>
      </c>
      <c r="Y48" s="325">
        <v>0</v>
      </c>
      <c r="Z48" s="492">
        <f t="shared" si="58"/>
        <v>0</v>
      </c>
      <c r="AA48" s="492">
        <f t="shared" si="59"/>
        <v>0</v>
      </c>
      <c r="AB48" s="494">
        <f t="shared" si="60"/>
        <v>0</v>
      </c>
      <c r="AC48" s="55">
        <f>ROUND(V48*1%,0)</f>
        <v>0</v>
      </c>
      <c r="AD48" s="14">
        <v>0</v>
      </c>
      <c r="AE48" s="605">
        <f t="shared" si="4"/>
        <v>0</v>
      </c>
      <c r="AF48" s="688">
        <v>0</v>
      </c>
      <c r="AG48" s="326">
        <v>0</v>
      </c>
      <c r="AH48" s="326">
        <v>0</v>
      </c>
      <c r="AI48" s="326">
        <v>0</v>
      </c>
      <c r="AJ48" s="326">
        <v>0</v>
      </c>
      <c r="AK48" s="326">
        <v>0</v>
      </c>
      <c r="AL48" s="880">
        <f>SUM(AF48:AK48)</f>
        <v>0</v>
      </c>
      <c r="AM48" s="676">
        <f>I48+AE48</f>
        <v>948249</v>
      </c>
      <c r="AN48" s="492">
        <f>J48+V48</f>
        <v>703449</v>
      </c>
      <c r="AO48" s="492">
        <f t="shared" si="61"/>
        <v>0</v>
      </c>
      <c r="AP48" s="492">
        <f t="shared" si="62"/>
        <v>237766</v>
      </c>
      <c r="AQ48" s="492">
        <f t="shared" si="62"/>
        <v>7034</v>
      </c>
      <c r="AR48" s="492">
        <f t="shared" si="6"/>
        <v>0</v>
      </c>
      <c r="AS48" s="609">
        <f>O48+AL48</f>
        <v>1.4375</v>
      </c>
    </row>
    <row r="49" spans="1:45" s="67" customFormat="1" ht="14.1" customHeight="1" x14ac:dyDescent="0.2">
      <c r="A49" s="89">
        <v>7</v>
      </c>
      <c r="B49" s="68">
        <v>2455</v>
      </c>
      <c r="C49" s="69">
        <v>600080145</v>
      </c>
      <c r="D49" s="68">
        <v>72741601</v>
      </c>
      <c r="E49" s="68" t="s">
        <v>696</v>
      </c>
      <c r="F49" s="77"/>
      <c r="G49" s="71"/>
      <c r="H49" s="72"/>
      <c r="I49" s="581">
        <v>5830965</v>
      </c>
      <c r="J49" s="334">
        <v>4325642</v>
      </c>
      <c r="K49" s="334">
        <v>0</v>
      </c>
      <c r="L49" s="334">
        <v>1462067</v>
      </c>
      <c r="M49" s="334">
        <v>43256</v>
      </c>
      <c r="N49" s="334">
        <v>0</v>
      </c>
      <c r="O49" s="74">
        <v>7.3966000000000003</v>
      </c>
      <c r="P49" s="692">
        <f t="shared" ref="P49:Z49" si="63">SUM(P45:P48)</f>
        <v>0</v>
      </c>
      <c r="Q49" s="334">
        <f t="shared" si="63"/>
        <v>0</v>
      </c>
      <c r="R49" s="334">
        <f t="shared" si="63"/>
        <v>0</v>
      </c>
      <c r="S49" s="334">
        <f t="shared" si="63"/>
        <v>0</v>
      </c>
      <c r="T49" s="334">
        <f t="shared" si="63"/>
        <v>0</v>
      </c>
      <c r="U49" s="334">
        <f t="shared" si="63"/>
        <v>0</v>
      </c>
      <c r="V49" s="334">
        <f t="shared" si="63"/>
        <v>0</v>
      </c>
      <c r="W49" s="334">
        <f t="shared" si="63"/>
        <v>0</v>
      </c>
      <c r="X49" s="334">
        <f t="shared" si="63"/>
        <v>0</v>
      </c>
      <c r="Y49" s="334">
        <f t="shared" si="63"/>
        <v>0</v>
      </c>
      <c r="Z49" s="334">
        <f t="shared" si="63"/>
        <v>0</v>
      </c>
      <c r="AA49" s="334">
        <f t="shared" ref="AA49:AS49" si="64">SUM(AA45:AA48)</f>
        <v>0</v>
      </c>
      <c r="AB49" s="334">
        <f t="shared" si="64"/>
        <v>0</v>
      </c>
      <c r="AC49" s="334">
        <f t="shared" si="64"/>
        <v>0</v>
      </c>
      <c r="AD49" s="334">
        <f t="shared" si="64"/>
        <v>0</v>
      </c>
      <c r="AE49" s="685">
        <f t="shared" si="64"/>
        <v>0</v>
      </c>
      <c r="AF49" s="689">
        <f t="shared" si="64"/>
        <v>0</v>
      </c>
      <c r="AG49" s="335">
        <f t="shared" si="64"/>
        <v>0</v>
      </c>
      <c r="AH49" s="335">
        <f t="shared" si="64"/>
        <v>0</v>
      </c>
      <c r="AI49" s="335">
        <f t="shared" si="64"/>
        <v>0</v>
      </c>
      <c r="AJ49" s="335">
        <f t="shared" si="64"/>
        <v>0</v>
      </c>
      <c r="AK49" s="335">
        <f t="shared" si="64"/>
        <v>0</v>
      </c>
      <c r="AL49" s="881">
        <f t="shared" si="64"/>
        <v>0</v>
      </c>
      <c r="AM49" s="581">
        <f t="shared" si="64"/>
        <v>5830965</v>
      </c>
      <c r="AN49" s="334">
        <f t="shared" si="64"/>
        <v>4325642</v>
      </c>
      <c r="AO49" s="334">
        <f t="shared" si="64"/>
        <v>0</v>
      </c>
      <c r="AP49" s="334">
        <f t="shared" si="64"/>
        <v>1462067</v>
      </c>
      <c r="AQ49" s="334">
        <f t="shared" si="64"/>
        <v>43256</v>
      </c>
      <c r="AR49" s="334">
        <f t="shared" si="64"/>
        <v>0</v>
      </c>
      <c r="AS49" s="74">
        <f t="shared" si="64"/>
        <v>7.3966000000000003</v>
      </c>
    </row>
    <row r="50" spans="1:45" s="67" customFormat="1" ht="14.1" customHeight="1" x14ac:dyDescent="0.2">
      <c r="A50" s="88">
        <v>8</v>
      </c>
      <c r="B50" s="73">
        <v>2456</v>
      </c>
      <c r="C50" s="64">
        <v>600079732</v>
      </c>
      <c r="D50" s="56">
        <v>70695911</v>
      </c>
      <c r="E50" s="56" t="s">
        <v>697</v>
      </c>
      <c r="F50" s="65">
        <v>3111</v>
      </c>
      <c r="G50" s="56" t="s">
        <v>277</v>
      </c>
      <c r="H50" s="66" t="s">
        <v>262</v>
      </c>
      <c r="I50" s="580">
        <v>9668629</v>
      </c>
      <c r="J50" s="14">
        <v>7169596</v>
      </c>
      <c r="K50" s="14">
        <v>3000</v>
      </c>
      <c r="L50" s="14">
        <v>2424337</v>
      </c>
      <c r="M50" s="14">
        <v>71696</v>
      </c>
      <c r="N50" s="14">
        <v>0</v>
      </c>
      <c r="O50" s="633">
        <v>12.376899999999999</v>
      </c>
      <c r="P50" s="440">
        <f t="shared" si="0"/>
        <v>-2000</v>
      </c>
      <c r="Q50" s="325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>P50+Q50+R50+S50+T50+U50</f>
        <v>-2000</v>
      </c>
      <c r="W50" s="325">
        <v>2000</v>
      </c>
      <c r="X50" s="325">
        <v>0</v>
      </c>
      <c r="Y50" s="325">
        <v>0</v>
      </c>
      <c r="Z50" s="492">
        <f t="shared" ref="Z50:Z54" si="65">W50+X50+Y50</f>
        <v>2000</v>
      </c>
      <c r="AA50" s="492">
        <f t="shared" ref="AA50:AA54" si="66">V50+Z50</f>
        <v>0</v>
      </c>
      <c r="AB50" s="494">
        <f t="shared" ref="AB50:AB54" si="67">ROUND((V50+Z50)*33.8%,0)</f>
        <v>0</v>
      </c>
      <c r="AC50" s="55">
        <f>ROUND(V50*1%,0)</f>
        <v>-20</v>
      </c>
      <c r="AD50" s="14">
        <v>0</v>
      </c>
      <c r="AE50" s="605">
        <f t="shared" si="4"/>
        <v>-20</v>
      </c>
      <c r="AF50" s="688">
        <v>0</v>
      </c>
      <c r="AG50" s="326">
        <v>0</v>
      </c>
      <c r="AH50" s="326">
        <v>0</v>
      </c>
      <c r="AI50" s="326">
        <v>0</v>
      </c>
      <c r="AJ50" s="326">
        <v>0</v>
      </c>
      <c r="AK50" s="326">
        <v>0</v>
      </c>
      <c r="AL50" s="880">
        <f>SUM(AF50:AK50)</f>
        <v>0</v>
      </c>
      <c r="AM50" s="676">
        <f>I50+AE50</f>
        <v>9668609</v>
      </c>
      <c r="AN50" s="492">
        <f>J50+V50</f>
        <v>7167596</v>
      </c>
      <c r="AO50" s="492">
        <f t="shared" ref="AO50:AO54" si="68">K50+Z50</f>
        <v>5000</v>
      </c>
      <c r="AP50" s="492">
        <f t="shared" ref="AP50:AQ54" si="69">L50+AB50</f>
        <v>2424337</v>
      </c>
      <c r="AQ50" s="492">
        <f t="shared" si="69"/>
        <v>71676</v>
      </c>
      <c r="AR50" s="492">
        <f t="shared" si="6"/>
        <v>0</v>
      </c>
      <c r="AS50" s="609">
        <f>O50+AL50</f>
        <v>12.376899999999999</v>
      </c>
    </row>
    <row r="51" spans="1:45" s="67" customFormat="1" ht="14.1" customHeight="1" x14ac:dyDescent="0.2">
      <c r="A51" s="88">
        <v>8</v>
      </c>
      <c r="B51" s="56">
        <v>2456</v>
      </c>
      <c r="C51" s="64">
        <v>600079732</v>
      </c>
      <c r="D51" s="56">
        <v>70695911</v>
      </c>
      <c r="E51" s="56" t="s">
        <v>697</v>
      </c>
      <c r="F51" s="65">
        <v>3113</v>
      </c>
      <c r="G51" s="56" t="s">
        <v>280</v>
      </c>
      <c r="H51" s="66" t="s">
        <v>262</v>
      </c>
      <c r="I51" s="580">
        <v>25552090</v>
      </c>
      <c r="J51" s="14">
        <v>18907912</v>
      </c>
      <c r="K51" s="14">
        <v>48000</v>
      </c>
      <c r="L51" s="14">
        <v>6407099</v>
      </c>
      <c r="M51" s="14">
        <v>189079</v>
      </c>
      <c r="N51" s="14">
        <v>0</v>
      </c>
      <c r="O51" s="633">
        <v>25</v>
      </c>
      <c r="P51" s="440">
        <f t="shared" si="0"/>
        <v>-32000</v>
      </c>
      <c r="Q51" s="325">
        <v>0</v>
      </c>
      <c r="R51" s="325">
        <v>0</v>
      </c>
      <c r="S51" s="325">
        <v>0</v>
      </c>
      <c r="T51" s="325">
        <v>0</v>
      </c>
      <c r="U51" s="325">
        <v>0</v>
      </c>
      <c r="V51" s="492">
        <f>P51+Q51+R51+S51+T51+U51</f>
        <v>-32000</v>
      </c>
      <c r="W51" s="325">
        <v>32000</v>
      </c>
      <c r="X51" s="325">
        <v>0</v>
      </c>
      <c r="Y51" s="325">
        <v>0</v>
      </c>
      <c r="Z51" s="492">
        <f t="shared" si="65"/>
        <v>32000</v>
      </c>
      <c r="AA51" s="492">
        <f t="shared" si="66"/>
        <v>0</v>
      </c>
      <c r="AB51" s="494">
        <f t="shared" si="67"/>
        <v>0</v>
      </c>
      <c r="AC51" s="55">
        <f>ROUND(V51*1%,0)</f>
        <v>-320</v>
      </c>
      <c r="AD51" s="14">
        <v>0</v>
      </c>
      <c r="AE51" s="605">
        <f t="shared" si="4"/>
        <v>-320</v>
      </c>
      <c r="AF51" s="688">
        <v>0</v>
      </c>
      <c r="AG51" s="326">
        <v>0</v>
      </c>
      <c r="AH51" s="326">
        <v>0</v>
      </c>
      <c r="AI51" s="326">
        <v>0</v>
      </c>
      <c r="AJ51" s="326">
        <v>0</v>
      </c>
      <c r="AK51" s="326">
        <v>0</v>
      </c>
      <c r="AL51" s="880">
        <f>SUM(AF51:AK51)</f>
        <v>0</v>
      </c>
      <c r="AM51" s="676">
        <f>I51+AE51</f>
        <v>25551770</v>
      </c>
      <c r="AN51" s="492">
        <f>J51+V51</f>
        <v>18875912</v>
      </c>
      <c r="AO51" s="492">
        <f t="shared" si="68"/>
        <v>80000</v>
      </c>
      <c r="AP51" s="492">
        <f t="shared" si="69"/>
        <v>6407099</v>
      </c>
      <c r="AQ51" s="492">
        <f t="shared" si="69"/>
        <v>188759</v>
      </c>
      <c r="AR51" s="492">
        <f t="shared" si="6"/>
        <v>0</v>
      </c>
      <c r="AS51" s="609">
        <f>O51+AL51</f>
        <v>25</v>
      </c>
    </row>
    <row r="52" spans="1:45" s="67" customFormat="1" ht="14.1" customHeight="1" x14ac:dyDescent="0.2">
      <c r="A52" s="88">
        <v>8</v>
      </c>
      <c r="B52" s="56">
        <v>2456</v>
      </c>
      <c r="C52" s="64">
        <v>600079732</v>
      </c>
      <c r="D52" s="56">
        <v>70695911</v>
      </c>
      <c r="E52" s="56" t="s">
        <v>697</v>
      </c>
      <c r="F52" s="65">
        <v>3113</v>
      </c>
      <c r="G52" s="56" t="s">
        <v>799</v>
      </c>
      <c r="H52" s="66" t="s">
        <v>262</v>
      </c>
      <c r="I52" s="580">
        <v>575464</v>
      </c>
      <c r="J52" s="14">
        <v>426902</v>
      </c>
      <c r="K52" s="14">
        <v>0</v>
      </c>
      <c r="L52" s="14">
        <v>144293</v>
      </c>
      <c r="M52" s="14">
        <v>4269</v>
      </c>
      <c r="N52" s="14">
        <v>0</v>
      </c>
      <c r="O52" s="633">
        <v>0.8</v>
      </c>
      <c r="P52" s="440">
        <f t="shared" ref="P52" si="70">W52*-1</f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0</v>
      </c>
      <c r="V52" s="492">
        <f>P52+Q52+R52+S52+T52+U52</f>
        <v>0</v>
      </c>
      <c r="W52" s="325">
        <v>0</v>
      </c>
      <c r="X52" s="325">
        <v>0</v>
      </c>
      <c r="Y52" s="325">
        <v>0</v>
      </c>
      <c r="Z52" s="492">
        <f t="shared" ref="Z52" si="71">W52+X52+Y52</f>
        <v>0</v>
      </c>
      <c r="AA52" s="492">
        <f t="shared" ref="AA52" si="72">V52+Z52</f>
        <v>0</v>
      </c>
      <c r="AB52" s="494">
        <f t="shared" ref="AB52" si="73">ROUND((V52+Z52)*33.8%,0)</f>
        <v>0</v>
      </c>
      <c r="AC52" s="55">
        <f>ROUND(V52*1%,0)</f>
        <v>0</v>
      </c>
      <c r="AD52" s="14">
        <v>0</v>
      </c>
      <c r="AE52" s="605">
        <f t="shared" si="4"/>
        <v>0</v>
      </c>
      <c r="AF52" s="688">
        <v>0</v>
      </c>
      <c r="AG52" s="326">
        <v>0</v>
      </c>
      <c r="AH52" s="326">
        <v>0</v>
      </c>
      <c r="AI52" s="326">
        <v>0</v>
      </c>
      <c r="AJ52" s="326">
        <v>0</v>
      </c>
      <c r="AK52" s="326">
        <v>0</v>
      </c>
      <c r="AL52" s="880">
        <f>SUM(AF52:AK52)</f>
        <v>0</v>
      </c>
      <c r="AM52" s="676">
        <f>I52+AE52</f>
        <v>575464</v>
      </c>
      <c r="AN52" s="492">
        <f>J52+V52</f>
        <v>426902</v>
      </c>
      <c r="AO52" s="492">
        <f t="shared" si="68"/>
        <v>0</v>
      </c>
      <c r="AP52" s="492">
        <f t="shared" si="69"/>
        <v>144293</v>
      </c>
      <c r="AQ52" s="492">
        <f t="shared" si="69"/>
        <v>4269</v>
      </c>
      <c r="AR52" s="492">
        <f t="shared" si="6"/>
        <v>0</v>
      </c>
      <c r="AS52" s="609">
        <f>O52+AL52</f>
        <v>0.8</v>
      </c>
    </row>
    <row r="53" spans="1:45" s="67" customFormat="1" ht="14.1" customHeight="1" x14ac:dyDescent="0.2">
      <c r="A53" s="88">
        <v>8</v>
      </c>
      <c r="B53" s="73">
        <v>2456</v>
      </c>
      <c r="C53" s="64">
        <v>600079732</v>
      </c>
      <c r="D53" s="56">
        <v>70695911</v>
      </c>
      <c r="E53" s="73" t="s">
        <v>697</v>
      </c>
      <c r="F53" s="65">
        <v>3113</v>
      </c>
      <c r="G53" s="56" t="s">
        <v>278</v>
      </c>
      <c r="H53" s="66" t="s">
        <v>263</v>
      </c>
      <c r="I53" s="580">
        <v>3719096</v>
      </c>
      <c r="J53" s="423">
        <v>2758973</v>
      </c>
      <c r="K53" s="423">
        <v>0</v>
      </c>
      <c r="L53" s="14">
        <v>932533</v>
      </c>
      <c r="M53" s="14">
        <v>27590</v>
      </c>
      <c r="N53" s="14">
        <v>0</v>
      </c>
      <c r="O53" s="698">
        <v>7.1</v>
      </c>
      <c r="P53" s="440">
        <f t="shared" si="0"/>
        <v>0</v>
      </c>
      <c r="Q53" s="325">
        <f>-2208-19868</f>
        <v>-22076</v>
      </c>
      <c r="R53" s="325">
        <v>0</v>
      </c>
      <c r="S53" s="325">
        <v>0</v>
      </c>
      <c r="T53" s="325">
        <v>0</v>
      </c>
      <c r="U53" s="325">
        <v>0</v>
      </c>
      <c r="V53" s="492">
        <f>P53+Q53+R53+S53+T53+U53</f>
        <v>-22076</v>
      </c>
      <c r="W53" s="325">
        <v>0</v>
      </c>
      <c r="X53" s="325">
        <v>0</v>
      </c>
      <c r="Y53" s="325">
        <v>0</v>
      </c>
      <c r="Z53" s="492">
        <f t="shared" si="65"/>
        <v>0</v>
      </c>
      <c r="AA53" s="492">
        <f t="shared" si="66"/>
        <v>-22076</v>
      </c>
      <c r="AB53" s="494">
        <f t="shared" si="67"/>
        <v>-7462</v>
      </c>
      <c r="AC53" s="55">
        <f>ROUND(V53*1%,0)</f>
        <v>-221</v>
      </c>
      <c r="AD53" s="14">
        <v>0</v>
      </c>
      <c r="AE53" s="605">
        <f t="shared" si="4"/>
        <v>-29759</v>
      </c>
      <c r="AF53" s="688">
        <v>0</v>
      </c>
      <c r="AG53" s="326">
        <f>-0.01-0.04</f>
        <v>-0.05</v>
      </c>
      <c r="AH53" s="326">
        <v>0</v>
      </c>
      <c r="AI53" s="326">
        <v>0</v>
      </c>
      <c r="AJ53" s="326">
        <v>0</v>
      </c>
      <c r="AK53" s="326">
        <v>0</v>
      </c>
      <c r="AL53" s="880">
        <f>SUM(AF53:AK53)</f>
        <v>-0.05</v>
      </c>
      <c r="AM53" s="676">
        <f>I53+AE53</f>
        <v>3689337</v>
      </c>
      <c r="AN53" s="492">
        <f>J53+V53</f>
        <v>2736897</v>
      </c>
      <c r="AO53" s="492">
        <f t="shared" si="68"/>
        <v>0</v>
      </c>
      <c r="AP53" s="492">
        <f t="shared" si="69"/>
        <v>925071</v>
      </c>
      <c r="AQ53" s="492">
        <f t="shared" si="69"/>
        <v>27369</v>
      </c>
      <c r="AR53" s="492">
        <f t="shared" si="6"/>
        <v>0</v>
      </c>
      <c r="AS53" s="609">
        <f>O53+AL53</f>
        <v>7.05</v>
      </c>
    </row>
    <row r="54" spans="1:45" s="67" customFormat="1" ht="14.1" customHeight="1" x14ac:dyDescent="0.2">
      <c r="A54" s="88">
        <v>8</v>
      </c>
      <c r="B54" s="56">
        <v>2456</v>
      </c>
      <c r="C54" s="64">
        <v>600079732</v>
      </c>
      <c r="D54" s="56">
        <v>70695911</v>
      </c>
      <c r="E54" s="56" t="s">
        <v>697</v>
      </c>
      <c r="F54" s="65">
        <v>3143</v>
      </c>
      <c r="G54" s="56" t="s">
        <v>794</v>
      </c>
      <c r="H54" s="66" t="s">
        <v>262</v>
      </c>
      <c r="I54" s="580">
        <v>2149663</v>
      </c>
      <c r="J54" s="14">
        <v>1585772</v>
      </c>
      <c r="K54" s="14">
        <v>9000</v>
      </c>
      <c r="L54" s="14">
        <v>539033</v>
      </c>
      <c r="M54" s="14">
        <v>15858</v>
      </c>
      <c r="N54" s="14">
        <v>0</v>
      </c>
      <c r="O54" s="633">
        <v>2.8235000000000001</v>
      </c>
      <c r="P54" s="440">
        <f t="shared" si="0"/>
        <v>-6000</v>
      </c>
      <c r="Q54" s="325">
        <v>0</v>
      </c>
      <c r="R54" s="325">
        <v>0</v>
      </c>
      <c r="S54" s="325">
        <v>0</v>
      </c>
      <c r="T54" s="325">
        <v>0</v>
      </c>
      <c r="U54" s="325">
        <v>0</v>
      </c>
      <c r="V54" s="492">
        <f>P54+Q54+R54+S54+T54+U54</f>
        <v>-6000</v>
      </c>
      <c r="W54" s="325">
        <v>6000</v>
      </c>
      <c r="X54" s="325">
        <v>0</v>
      </c>
      <c r="Y54" s="325">
        <v>0</v>
      </c>
      <c r="Z54" s="492">
        <f t="shared" si="65"/>
        <v>6000</v>
      </c>
      <c r="AA54" s="492">
        <f t="shared" si="66"/>
        <v>0</v>
      </c>
      <c r="AB54" s="494">
        <f t="shared" si="67"/>
        <v>0</v>
      </c>
      <c r="AC54" s="55">
        <f>ROUND(V54*1%,0)</f>
        <v>-60</v>
      </c>
      <c r="AD54" s="14">
        <v>0</v>
      </c>
      <c r="AE54" s="605">
        <f t="shared" si="4"/>
        <v>-60</v>
      </c>
      <c r="AF54" s="688">
        <v>0</v>
      </c>
      <c r="AG54" s="326">
        <v>0</v>
      </c>
      <c r="AH54" s="326">
        <v>0</v>
      </c>
      <c r="AI54" s="326">
        <v>0</v>
      </c>
      <c r="AJ54" s="326">
        <v>0</v>
      </c>
      <c r="AK54" s="326">
        <v>0</v>
      </c>
      <c r="AL54" s="880">
        <f>SUM(AF54:AK54)</f>
        <v>0</v>
      </c>
      <c r="AM54" s="676">
        <f>I54+AE54</f>
        <v>2149603</v>
      </c>
      <c r="AN54" s="492">
        <f>J54+V54</f>
        <v>1579772</v>
      </c>
      <c r="AO54" s="492">
        <f t="shared" si="68"/>
        <v>15000</v>
      </c>
      <c r="AP54" s="492">
        <f t="shared" si="69"/>
        <v>539033</v>
      </c>
      <c r="AQ54" s="492">
        <f t="shared" si="69"/>
        <v>15798</v>
      </c>
      <c r="AR54" s="492">
        <f t="shared" si="6"/>
        <v>0</v>
      </c>
      <c r="AS54" s="609">
        <f>O54+AL54</f>
        <v>2.8235000000000001</v>
      </c>
    </row>
    <row r="55" spans="1:45" s="67" customFormat="1" ht="14.1" customHeight="1" x14ac:dyDescent="0.2">
      <c r="A55" s="89">
        <v>8</v>
      </c>
      <c r="B55" s="68">
        <v>2456</v>
      </c>
      <c r="C55" s="69">
        <v>600079732</v>
      </c>
      <c r="D55" s="68">
        <v>70695911</v>
      </c>
      <c r="E55" s="68" t="s">
        <v>698</v>
      </c>
      <c r="F55" s="70"/>
      <c r="G55" s="71"/>
      <c r="H55" s="72"/>
      <c r="I55" s="581">
        <v>41664942</v>
      </c>
      <c r="J55" s="334">
        <v>30849155</v>
      </c>
      <c r="K55" s="334">
        <v>60000</v>
      </c>
      <c r="L55" s="334">
        <v>10447295</v>
      </c>
      <c r="M55" s="334">
        <v>308492</v>
      </c>
      <c r="N55" s="334">
        <v>0</v>
      </c>
      <c r="O55" s="74">
        <v>48.1004</v>
      </c>
      <c r="P55" s="692">
        <f t="shared" ref="P55:Z55" si="74">SUM(P50:P54)</f>
        <v>-40000</v>
      </c>
      <c r="Q55" s="334">
        <f t="shared" si="74"/>
        <v>-22076</v>
      </c>
      <c r="R55" s="334">
        <f t="shared" si="74"/>
        <v>0</v>
      </c>
      <c r="S55" s="334">
        <f t="shared" si="74"/>
        <v>0</v>
      </c>
      <c r="T55" s="334">
        <f t="shared" si="74"/>
        <v>0</v>
      </c>
      <c r="U55" s="334">
        <f t="shared" si="74"/>
        <v>0</v>
      </c>
      <c r="V55" s="334">
        <f t="shared" si="74"/>
        <v>-62076</v>
      </c>
      <c r="W55" s="334">
        <f t="shared" si="74"/>
        <v>40000</v>
      </c>
      <c r="X55" s="334">
        <f t="shared" si="74"/>
        <v>0</v>
      </c>
      <c r="Y55" s="334">
        <f t="shared" si="74"/>
        <v>0</v>
      </c>
      <c r="Z55" s="334">
        <f t="shared" si="74"/>
        <v>40000</v>
      </c>
      <c r="AA55" s="334">
        <f t="shared" ref="AA55:AS55" si="75">SUM(AA50:AA54)</f>
        <v>-22076</v>
      </c>
      <c r="AB55" s="334">
        <f t="shared" si="75"/>
        <v>-7462</v>
      </c>
      <c r="AC55" s="334">
        <f t="shared" si="75"/>
        <v>-621</v>
      </c>
      <c r="AD55" s="334">
        <f t="shared" si="75"/>
        <v>0</v>
      </c>
      <c r="AE55" s="685">
        <f t="shared" si="75"/>
        <v>-30159</v>
      </c>
      <c r="AF55" s="689">
        <f t="shared" si="75"/>
        <v>0</v>
      </c>
      <c r="AG55" s="335">
        <f t="shared" si="75"/>
        <v>-0.05</v>
      </c>
      <c r="AH55" s="335">
        <f t="shared" si="75"/>
        <v>0</v>
      </c>
      <c r="AI55" s="335">
        <f t="shared" si="75"/>
        <v>0</v>
      </c>
      <c r="AJ55" s="335">
        <f t="shared" si="75"/>
        <v>0</v>
      </c>
      <c r="AK55" s="335">
        <f t="shared" si="75"/>
        <v>0</v>
      </c>
      <c r="AL55" s="881">
        <f t="shared" si="75"/>
        <v>-0.05</v>
      </c>
      <c r="AM55" s="581">
        <f t="shared" si="75"/>
        <v>41634783</v>
      </c>
      <c r="AN55" s="334">
        <f t="shared" si="75"/>
        <v>30787079</v>
      </c>
      <c r="AO55" s="334">
        <f t="shared" si="75"/>
        <v>100000</v>
      </c>
      <c r="AP55" s="334">
        <f t="shared" si="75"/>
        <v>10439833</v>
      </c>
      <c r="AQ55" s="334">
        <f t="shared" si="75"/>
        <v>307871</v>
      </c>
      <c r="AR55" s="334">
        <f t="shared" si="75"/>
        <v>0</v>
      </c>
      <c r="AS55" s="74">
        <f t="shared" si="75"/>
        <v>48.050399999999996</v>
      </c>
    </row>
    <row r="56" spans="1:45" s="67" customFormat="1" ht="14.1" customHeight="1" x14ac:dyDescent="0.2">
      <c r="A56" s="88">
        <v>9</v>
      </c>
      <c r="B56" s="73">
        <v>2462</v>
      </c>
      <c r="C56" s="64">
        <v>600079813</v>
      </c>
      <c r="D56" s="56">
        <v>72744600</v>
      </c>
      <c r="E56" s="56" t="s">
        <v>699</v>
      </c>
      <c r="F56" s="65">
        <v>3111</v>
      </c>
      <c r="G56" s="56" t="s">
        <v>277</v>
      </c>
      <c r="H56" s="66" t="s">
        <v>262</v>
      </c>
      <c r="I56" s="580">
        <v>1635471</v>
      </c>
      <c r="J56" s="14">
        <v>1213257</v>
      </c>
      <c r="K56" s="14">
        <v>0</v>
      </c>
      <c r="L56" s="14">
        <v>410081</v>
      </c>
      <c r="M56" s="14">
        <v>12133</v>
      </c>
      <c r="N56" s="14">
        <v>0</v>
      </c>
      <c r="O56" s="633">
        <v>2</v>
      </c>
      <c r="P56" s="440">
        <f t="shared" si="0"/>
        <v>0</v>
      </c>
      <c r="Q56" s="325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>P56+Q56+R56+S56+T56+U56</f>
        <v>0</v>
      </c>
      <c r="W56" s="325">
        <v>0</v>
      </c>
      <c r="X56" s="325">
        <v>0</v>
      </c>
      <c r="Y56" s="325">
        <v>0</v>
      </c>
      <c r="Z56" s="492">
        <f t="shared" ref="Z56:Z59" si="76">W56+X56+Y56</f>
        <v>0</v>
      </c>
      <c r="AA56" s="492">
        <f t="shared" ref="AA56:AA59" si="77">V56+Z56</f>
        <v>0</v>
      </c>
      <c r="AB56" s="494">
        <f t="shared" ref="AB56:AB59" si="78">ROUND((V56+Z56)*33.8%,0)</f>
        <v>0</v>
      </c>
      <c r="AC56" s="55">
        <f>ROUND(V56*1%,0)</f>
        <v>0</v>
      </c>
      <c r="AD56" s="14">
        <v>0</v>
      </c>
      <c r="AE56" s="605">
        <f t="shared" si="4"/>
        <v>0</v>
      </c>
      <c r="AF56" s="688">
        <v>0</v>
      </c>
      <c r="AG56" s="326">
        <v>0</v>
      </c>
      <c r="AH56" s="326">
        <v>0</v>
      </c>
      <c r="AI56" s="326">
        <v>0</v>
      </c>
      <c r="AJ56" s="326">
        <v>0</v>
      </c>
      <c r="AK56" s="326">
        <v>0</v>
      </c>
      <c r="AL56" s="880">
        <f>SUM(AF56:AK56)</f>
        <v>0</v>
      </c>
      <c r="AM56" s="676">
        <f>I56+AE56</f>
        <v>1635471</v>
      </c>
      <c r="AN56" s="492">
        <f>J56+V56</f>
        <v>1213257</v>
      </c>
      <c r="AO56" s="492">
        <f t="shared" ref="AO56:AO59" si="79">K56+Z56</f>
        <v>0</v>
      </c>
      <c r="AP56" s="492">
        <f t="shared" ref="AP56:AQ59" si="80">L56+AB56</f>
        <v>410081</v>
      </c>
      <c r="AQ56" s="492">
        <f t="shared" si="80"/>
        <v>12133</v>
      </c>
      <c r="AR56" s="492">
        <f t="shared" si="6"/>
        <v>0</v>
      </c>
      <c r="AS56" s="609">
        <f>O56+AL56</f>
        <v>2</v>
      </c>
    </row>
    <row r="57" spans="1:45" s="67" customFormat="1" ht="14.1" customHeight="1" x14ac:dyDescent="0.2">
      <c r="A57" s="88">
        <v>9</v>
      </c>
      <c r="B57" s="75">
        <v>2462</v>
      </c>
      <c r="C57" s="64">
        <v>600079813</v>
      </c>
      <c r="D57" s="56">
        <v>72744600</v>
      </c>
      <c r="E57" s="75" t="s">
        <v>699</v>
      </c>
      <c r="F57" s="76">
        <v>3117</v>
      </c>
      <c r="G57" s="75" t="s">
        <v>294</v>
      </c>
      <c r="H57" s="66" t="s">
        <v>262</v>
      </c>
      <c r="I57" s="580">
        <v>3106541</v>
      </c>
      <c r="J57" s="14">
        <v>2304556</v>
      </c>
      <c r="K57" s="14">
        <v>0</v>
      </c>
      <c r="L57" s="14">
        <v>778940</v>
      </c>
      <c r="M57" s="14">
        <v>23045</v>
      </c>
      <c r="N57" s="14">
        <v>0</v>
      </c>
      <c r="O57" s="633">
        <v>3.5257999999999998</v>
      </c>
      <c r="P57" s="440">
        <f t="shared" si="0"/>
        <v>0</v>
      </c>
      <c r="Q57" s="325">
        <v>0</v>
      </c>
      <c r="R57" s="325">
        <v>0</v>
      </c>
      <c r="S57" s="325">
        <v>0</v>
      </c>
      <c r="T57" s="325">
        <v>0</v>
      </c>
      <c r="U57" s="325">
        <v>0</v>
      </c>
      <c r="V57" s="492">
        <f>P57+Q57+R57+S57+T57+U57</f>
        <v>0</v>
      </c>
      <c r="W57" s="325">
        <v>0</v>
      </c>
      <c r="X57" s="325">
        <v>0</v>
      </c>
      <c r="Y57" s="325">
        <v>0</v>
      </c>
      <c r="Z57" s="492">
        <f t="shared" si="76"/>
        <v>0</v>
      </c>
      <c r="AA57" s="492">
        <f t="shared" si="77"/>
        <v>0</v>
      </c>
      <c r="AB57" s="494">
        <f t="shared" si="78"/>
        <v>0</v>
      </c>
      <c r="AC57" s="55">
        <f>ROUND(V57*1%,0)</f>
        <v>0</v>
      </c>
      <c r="AD57" s="14">
        <v>0</v>
      </c>
      <c r="AE57" s="605">
        <f t="shared" si="4"/>
        <v>0</v>
      </c>
      <c r="AF57" s="688">
        <v>0</v>
      </c>
      <c r="AG57" s="326">
        <v>0</v>
      </c>
      <c r="AH57" s="326">
        <v>0</v>
      </c>
      <c r="AI57" s="326">
        <v>0</v>
      </c>
      <c r="AJ57" s="326">
        <v>0</v>
      </c>
      <c r="AK57" s="326">
        <v>0</v>
      </c>
      <c r="AL57" s="880">
        <f>SUM(AF57:AK57)</f>
        <v>0</v>
      </c>
      <c r="AM57" s="676">
        <f>I57+AE57</f>
        <v>3106541</v>
      </c>
      <c r="AN57" s="492">
        <f>J57+V57</f>
        <v>2304556</v>
      </c>
      <c r="AO57" s="492">
        <f t="shared" si="79"/>
        <v>0</v>
      </c>
      <c r="AP57" s="492">
        <f t="shared" si="80"/>
        <v>778940</v>
      </c>
      <c r="AQ57" s="492">
        <f t="shared" si="80"/>
        <v>23045</v>
      </c>
      <c r="AR57" s="492">
        <f t="shared" si="6"/>
        <v>0</v>
      </c>
      <c r="AS57" s="609">
        <f>O57+AL57</f>
        <v>3.5257999999999998</v>
      </c>
    </row>
    <row r="58" spans="1:45" s="67" customFormat="1" ht="14.1" customHeight="1" x14ac:dyDescent="0.2">
      <c r="A58" s="88">
        <v>9</v>
      </c>
      <c r="B58" s="73">
        <v>2462</v>
      </c>
      <c r="C58" s="64">
        <v>600079813</v>
      </c>
      <c r="D58" s="56">
        <v>72744600</v>
      </c>
      <c r="E58" s="73" t="s">
        <v>699</v>
      </c>
      <c r="F58" s="65">
        <v>3117</v>
      </c>
      <c r="G58" s="56" t="s">
        <v>278</v>
      </c>
      <c r="H58" s="66" t="s">
        <v>263</v>
      </c>
      <c r="I58" s="580">
        <v>1289925</v>
      </c>
      <c r="J58" s="423">
        <v>956918</v>
      </c>
      <c r="K58" s="423">
        <v>0</v>
      </c>
      <c r="L58" s="14">
        <v>323438</v>
      </c>
      <c r="M58" s="14">
        <v>9569</v>
      </c>
      <c r="N58" s="14">
        <v>0</v>
      </c>
      <c r="O58" s="698">
        <v>2.3800000000000003</v>
      </c>
      <c r="P58" s="440">
        <f t="shared" si="0"/>
        <v>0</v>
      </c>
      <c r="Q58" s="325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>P58+Q58+R58+S58+T58+U58</f>
        <v>0</v>
      </c>
      <c r="W58" s="325">
        <v>0</v>
      </c>
      <c r="X58" s="325">
        <v>0</v>
      </c>
      <c r="Y58" s="325">
        <v>0</v>
      </c>
      <c r="Z58" s="492">
        <f t="shared" si="76"/>
        <v>0</v>
      </c>
      <c r="AA58" s="492">
        <f t="shared" si="77"/>
        <v>0</v>
      </c>
      <c r="AB58" s="494">
        <f t="shared" si="78"/>
        <v>0</v>
      </c>
      <c r="AC58" s="55">
        <f>ROUND(V58*1%,0)</f>
        <v>0</v>
      </c>
      <c r="AD58" s="14">
        <v>0</v>
      </c>
      <c r="AE58" s="605">
        <f t="shared" si="4"/>
        <v>0</v>
      </c>
      <c r="AF58" s="688">
        <v>0</v>
      </c>
      <c r="AG58" s="326">
        <v>0</v>
      </c>
      <c r="AH58" s="326">
        <v>0</v>
      </c>
      <c r="AI58" s="326">
        <v>0</v>
      </c>
      <c r="AJ58" s="326">
        <v>0</v>
      </c>
      <c r="AK58" s="326">
        <v>0</v>
      </c>
      <c r="AL58" s="880">
        <f>SUM(AF58:AK58)</f>
        <v>0</v>
      </c>
      <c r="AM58" s="676">
        <f>I58+AE58</f>
        <v>1289925</v>
      </c>
      <c r="AN58" s="492">
        <f>J58+V58</f>
        <v>956918</v>
      </c>
      <c r="AO58" s="492">
        <f t="shared" si="79"/>
        <v>0</v>
      </c>
      <c r="AP58" s="492">
        <f t="shared" si="80"/>
        <v>323438</v>
      </c>
      <c r="AQ58" s="492">
        <f t="shared" si="80"/>
        <v>9569</v>
      </c>
      <c r="AR58" s="492">
        <f t="shared" si="6"/>
        <v>0</v>
      </c>
      <c r="AS58" s="609">
        <f>O58+AL58</f>
        <v>2.3800000000000003</v>
      </c>
    </row>
    <row r="59" spans="1:45" s="67" customFormat="1" ht="14.1" customHeight="1" x14ac:dyDescent="0.2">
      <c r="A59" s="88">
        <v>9</v>
      </c>
      <c r="B59" s="56">
        <v>2462</v>
      </c>
      <c r="C59" s="64">
        <v>600079813</v>
      </c>
      <c r="D59" s="56">
        <v>72744600</v>
      </c>
      <c r="E59" s="56" t="s">
        <v>699</v>
      </c>
      <c r="F59" s="65">
        <v>3143</v>
      </c>
      <c r="G59" s="56" t="s">
        <v>794</v>
      </c>
      <c r="H59" s="66" t="s">
        <v>262</v>
      </c>
      <c r="I59" s="580">
        <v>738952</v>
      </c>
      <c r="J59" s="14">
        <v>548184</v>
      </c>
      <c r="K59" s="14">
        <v>0</v>
      </c>
      <c r="L59" s="14">
        <v>185286</v>
      </c>
      <c r="M59" s="14">
        <v>5482</v>
      </c>
      <c r="N59" s="14">
        <v>0</v>
      </c>
      <c r="O59" s="633">
        <v>1.0832999999999999</v>
      </c>
      <c r="P59" s="440">
        <f t="shared" si="0"/>
        <v>0</v>
      </c>
      <c r="Q59" s="325">
        <v>0</v>
      </c>
      <c r="R59" s="325">
        <v>0</v>
      </c>
      <c r="S59" s="325">
        <v>0</v>
      </c>
      <c r="T59" s="325">
        <v>0</v>
      </c>
      <c r="U59" s="325">
        <v>0</v>
      </c>
      <c r="V59" s="492">
        <f>P59+Q59+R59+S59+T59+U59</f>
        <v>0</v>
      </c>
      <c r="W59" s="325">
        <v>0</v>
      </c>
      <c r="X59" s="325">
        <v>0</v>
      </c>
      <c r="Y59" s="325">
        <v>0</v>
      </c>
      <c r="Z59" s="492">
        <f t="shared" si="76"/>
        <v>0</v>
      </c>
      <c r="AA59" s="492">
        <f t="shared" si="77"/>
        <v>0</v>
      </c>
      <c r="AB59" s="494">
        <f t="shared" si="78"/>
        <v>0</v>
      </c>
      <c r="AC59" s="55">
        <f>ROUND(V59*1%,0)</f>
        <v>0</v>
      </c>
      <c r="AD59" s="14">
        <v>0</v>
      </c>
      <c r="AE59" s="605">
        <f t="shared" si="4"/>
        <v>0</v>
      </c>
      <c r="AF59" s="688">
        <v>0</v>
      </c>
      <c r="AG59" s="326">
        <v>0</v>
      </c>
      <c r="AH59" s="326">
        <v>0</v>
      </c>
      <c r="AI59" s="326">
        <v>0</v>
      </c>
      <c r="AJ59" s="326">
        <v>0</v>
      </c>
      <c r="AK59" s="326">
        <v>0</v>
      </c>
      <c r="AL59" s="880">
        <f>SUM(AF59:AK59)</f>
        <v>0</v>
      </c>
      <c r="AM59" s="676">
        <f>I59+AE59</f>
        <v>738952</v>
      </c>
      <c r="AN59" s="492">
        <f>J59+V59</f>
        <v>548184</v>
      </c>
      <c r="AO59" s="492">
        <f t="shared" si="79"/>
        <v>0</v>
      </c>
      <c r="AP59" s="492">
        <f t="shared" si="80"/>
        <v>185286</v>
      </c>
      <c r="AQ59" s="492">
        <f t="shared" si="80"/>
        <v>5482</v>
      </c>
      <c r="AR59" s="492">
        <f t="shared" si="6"/>
        <v>0</v>
      </c>
      <c r="AS59" s="609">
        <f>O59+AL59</f>
        <v>1.0832999999999999</v>
      </c>
    </row>
    <row r="60" spans="1:45" s="67" customFormat="1" ht="14.1" customHeight="1" x14ac:dyDescent="0.2">
      <c r="A60" s="89">
        <v>9</v>
      </c>
      <c r="B60" s="68">
        <v>2462</v>
      </c>
      <c r="C60" s="69">
        <v>600079813</v>
      </c>
      <c r="D60" s="68">
        <v>72744600</v>
      </c>
      <c r="E60" s="68" t="s">
        <v>700</v>
      </c>
      <c r="F60" s="77"/>
      <c r="G60" s="71"/>
      <c r="H60" s="72"/>
      <c r="I60" s="581">
        <v>6770889</v>
      </c>
      <c r="J60" s="334">
        <v>5022915</v>
      </c>
      <c r="K60" s="334">
        <v>0</v>
      </c>
      <c r="L60" s="334">
        <v>1697745</v>
      </c>
      <c r="M60" s="334">
        <v>50229</v>
      </c>
      <c r="N60" s="334">
        <v>0</v>
      </c>
      <c r="O60" s="74">
        <v>8.9891000000000005</v>
      </c>
      <c r="P60" s="692">
        <f t="shared" ref="P60:Z60" si="81">SUM(P56:P59)</f>
        <v>0</v>
      </c>
      <c r="Q60" s="334">
        <f t="shared" si="81"/>
        <v>0</v>
      </c>
      <c r="R60" s="334">
        <f t="shared" si="81"/>
        <v>0</v>
      </c>
      <c r="S60" s="334">
        <f t="shared" si="81"/>
        <v>0</v>
      </c>
      <c r="T60" s="334">
        <f t="shared" si="81"/>
        <v>0</v>
      </c>
      <c r="U60" s="334">
        <f t="shared" si="81"/>
        <v>0</v>
      </c>
      <c r="V60" s="334">
        <f t="shared" si="81"/>
        <v>0</v>
      </c>
      <c r="W60" s="334">
        <f t="shared" si="81"/>
        <v>0</v>
      </c>
      <c r="X60" s="334">
        <f t="shared" si="81"/>
        <v>0</v>
      </c>
      <c r="Y60" s="334">
        <f t="shared" si="81"/>
        <v>0</v>
      </c>
      <c r="Z60" s="334">
        <f t="shared" si="81"/>
        <v>0</v>
      </c>
      <c r="AA60" s="334">
        <f t="shared" ref="AA60:AS60" si="82">SUM(AA56:AA59)</f>
        <v>0</v>
      </c>
      <c r="AB60" s="334">
        <f t="shared" si="82"/>
        <v>0</v>
      </c>
      <c r="AC60" s="334">
        <f t="shared" si="82"/>
        <v>0</v>
      </c>
      <c r="AD60" s="334">
        <f t="shared" si="82"/>
        <v>0</v>
      </c>
      <c r="AE60" s="685">
        <f t="shared" si="82"/>
        <v>0</v>
      </c>
      <c r="AF60" s="689">
        <f t="shared" si="82"/>
        <v>0</v>
      </c>
      <c r="AG60" s="335">
        <f t="shared" si="82"/>
        <v>0</v>
      </c>
      <c r="AH60" s="335">
        <f t="shared" si="82"/>
        <v>0</v>
      </c>
      <c r="AI60" s="335">
        <f t="shared" si="82"/>
        <v>0</v>
      </c>
      <c r="AJ60" s="335">
        <f t="shared" si="82"/>
        <v>0</v>
      </c>
      <c r="AK60" s="335">
        <f t="shared" si="82"/>
        <v>0</v>
      </c>
      <c r="AL60" s="881">
        <f t="shared" si="82"/>
        <v>0</v>
      </c>
      <c r="AM60" s="581">
        <f t="shared" si="82"/>
        <v>6770889</v>
      </c>
      <c r="AN60" s="334">
        <f t="shared" si="82"/>
        <v>5022915</v>
      </c>
      <c r="AO60" s="334">
        <f t="shared" si="82"/>
        <v>0</v>
      </c>
      <c r="AP60" s="334">
        <f t="shared" si="82"/>
        <v>1697745</v>
      </c>
      <c r="AQ60" s="334">
        <f t="shared" si="82"/>
        <v>50229</v>
      </c>
      <c r="AR60" s="334">
        <f t="shared" si="82"/>
        <v>0</v>
      </c>
      <c r="AS60" s="74">
        <f t="shared" si="82"/>
        <v>8.9891000000000005</v>
      </c>
    </row>
    <row r="61" spans="1:45" s="67" customFormat="1" ht="14.1" customHeight="1" x14ac:dyDescent="0.2">
      <c r="A61" s="88">
        <v>10</v>
      </c>
      <c r="B61" s="73">
        <v>2464</v>
      </c>
      <c r="C61" s="64">
        <v>600080081</v>
      </c>
      <c r="D61" s="56">
        <v>72753846</v>
      </c>
      <c r="E61" s="56" t="s">
        <v>701</v>
      </c>
      <c r="F61" s="65">
        <v>3111</v>
      </c>
      <c r="G61" s="56" t="s">
        <v>277</v>
      </c>
      <c r="H61" s="66" t="s">
        <v>262</v>
      </c>
      <c r="I61" s="580">
        <v>1690202</v>
      </c>
      <c r="J61" s="14">
        <v>1253859</v>
      </c>
      <c r="K61" s="14">
        <v>0</v>
      </c>
      <c r="L61" s="14">
        <v>423804</v>
      </c>
      <c r="M61" s="14">
        <v>12539</v>
      </c>
      <c r="N61" s="14">
        <v>0</v>
      </c>
      <c r="O61" s="633">
        <v>2.2562000000000002</v>
      </c>
      <c r="P61" s="440">
        <f t="shared" ref="P61:P101" si="83">W61*-1</f>
        <v>0</v>
      </c>
      <c r="Q61" s="325">
        <v>0</v>
      </c>
      <c r="R61" s="325">
        <v>0</v>
      </c>
      <c r="S61" s="325">
        <v>0</v>
      </c>
      <c r="T61" s="325">
        <v>0</v>
      </c>
      <c r="U61" s="325">
        <v>0</v>
      </c>
      <c r="V61" s="492">
        <f>P61+Q61+R61+S61+T61+U61</f>
        <v>0</v>
      </c>
      <c r="W61" s="325">
        <v>0</v>
      </c>
      <c r="X61" s="325">
        <v>0</v>
      </c>
      <c r="Y61" s="325">
        <v>0</v>
      </c>
      <c r="Z61" s="492">
        <f t="shared" ref="Z61:Z64" si="84">W61+X61+Y61</f>
        <v>0</v>
      </c>
      <c r="AA61" s="492">
        <f t="shared" ref="AA61:AA64" si="85">V61+Z61</f>
        <v>0</v>
      </c>
      <c r="AB61" s="494">
        <f t="shared" ref="AB61:AB64" si="86">ROUND((V61+Z61)*33.8%,0)</f>
        <v>0</v>
      </c>
      <c r="AC61" s="55">
        <f>ROUND(V61*1%,0)</f>
        <v>0</v>
      </c>
      <c r="AD61" s="14">
        <v>0</v>
      </c>
      <c r="AE61" s="605">
        <f t="shared" si="4"/>
        <v>0</v>
      </c>
      <c r="AF61" s="688">
        <v>0</v>
      </c>
      <c r="AG61" s="326">
        <v>0</v>
      </c>
      <c r="AH61" s="326">
        <v>0</v>
      </c>
      <c r="AI61" s="326">
        <v>0</v>
      </c>
      <c r="AJ61" s="326">
        <v>0</v>
      </c>
      <c r="AK61" s="326">
        <v>0</v>
      </c>
      <c r="AL61" s="880">
        <f>SUM(AF61:AK61)</f>
        <v>0</v>
      </c>
      <c r="AM61" s="676">
        <f>I61+AE61</f>
        <v>1690202</v>
      </c>
      <c r="AN61" s="492">
        <f>J61+V61</f>
        <v>1253859</v>
      </c>
      <c r="AO61" s="492">
        <f t="shared" ref="AO61:AO64" si="87">K61+Z61</f>
        <v>0</v>
      </c>
      <c r="AP61" s="492">
        <f t="shared" ref="AP61:AQ64" si="88">L61+AB61</f>
        <v>423804</v>
      </c>
      <c r="AQ61" s="492">
        <f t="shared" si="88"/>
        <v>12539</v>
      </c>
      <c r="AR61" s="492">
        <f t="shared" si="6"/>
        <v>0</v>
      </c>
      <c r="AS61" s="609">
        <f>O61+AL61</f>
        <v>2.2562000000000002</v>
      </c>
    </row>
    <row r="62" spans="1:45" s="67" customFormat="1" ht="14.1" customHeight="1" x14ac:dyDescent="0.2">
      <c r="A62" s="88">
        <v>10</v>
      </c>
      <c r="B62" s="75">
        <v>2464</v>
      </c>
      <c r="C62" s="64">
        <v>600080081</v>
      </c>
      <c r="D62" s="56">
        <v>72753846</v>
      </c>
      <c r="E62" s="75" t="s">
        <v>701</v>
      </c>
      <c r="F62" s="76">
        <v>3117</v>
      </c>
      <c r="G62" s="75" t="s">
        <v>294</v>
      </c>
      <c r="H62" s="66" t="s">
        <v>262</v>
      </c>
      <c r="I62" s="580">
        <v>879713</v>
      </c>
      <c r="J62" s="14">
        <v>652606</v>
      </c>
      <c r="K62" s="14">
        <v>0</v>
      </c>
      <c r="L62" s="14">
        <v>220581</v>
      </c>
      <c r="M62" s="14">
        <v>6526</v>
      </c>
      <c r="N62" s="14">
        <v>0</v>
      </c>
      <c r="O62" s="633">
        <v>1.1394</v>
      </c>
      <c r="P62" s="440">
        <f t="shared" si="83"/>
        <v>0</v>
      </c>
      <c r="Q62" s="325">
        <v>0</v>
      </c>
      <c r="R62" s="325">
        <v>0</v>
      </c>
      <c r="S62" s="325">
        <v>0</v>
      </c>
      <c r="T62" s="325">
        <v>0</v>
      </c>
      <c r="U62" s="325">
        <v>0</v>
      </c>
      <c r="V62" s="492">
        <f>P62+Q62+R62+S62+T62+U62</f>
        <v>0</v>
      </c>
      <c r="W62" s="325">
        <v>0</v>
      </c>
      <c r="X62" s="325">
        <v>0</v>
      </c>
      <c r="Y62" s="325">
        <v>0</v>
      </c>
      <c r="Z62" s="492">
        <f t="shared" si="84"/>
        <v>0</v>
      </c>
      <c r="AA62" s="492">
        <f t="shared" si="85"/>
        <v>0</v>
      </c>
      <c r="AB62" s="494">
        <f t="shared" si="86"/>
        <v>0</v>
      </c>
      <c r="AC62" s="55">
        <f>ROUND(V62*1%,0)</f>
        <v>0</v>
      </c>
      <c r="AD62" s="14">
        <v>0</v>
      </c>
      <c r="AE62" s="605">
        <f t="shared" si="4"/>
        <v>0</v>
      </c>
      <c r="AF62" s="688">
        <v>0</v>
      </c>
      <c r="AG62" s="326">
        <v>0</v>
      </c>
      <c r="AH62" s="326">
        <v>0</v>
      </c>
      <c r="AI62" s="326">
        <v>0</v>
      </c>
      <c r="AJ62" s="326">
        <v>0</v>
      </c>
      <c r="AK62" s="326">
        <v>0</v>
      </c>
      <c r="AL62" s="880">
        <f>SUM(AF62:AK62)</f>
        <v>0</v>
      </c>
      <c r="AM62" s="676">
        <f>I62+AE62</f>
        <v>879713</v>
      </c>
      <c r="AN62" s="492">
        <f>J62+V62</f>
        <v>652606</v>
      </c>
      <c r="AO62" s="492">
        <f t="shared" si="87"/>
        <v>0</v>
      </c>
      <c r="AP62" s="492">
        <f t="shared" si="88"/>
        <v>220581</v>
      </c>
      <c r="AQ62" s="492">
        <f t="shared" si="88"/>
        <v>6526</v>
      </c>
      <c r="AR62" s="492">
        <f t="shared" si="6"/>
        <v>0</v>
      </c>
      <c r="AS62" s="609">
        <f>O62+AL62</f>
        <v>1.1394</v>
      </c>
    </row>
    <row r="63" spans="1:45" s="67" customFormat="1" ht="14.1" customHeight="1" x14ac:dyDescent="0.2">
      <c r="A63" s="88">
        <v>10</v>
      </c>
      <c r="B63" s="73">
        <v>2464</v>
      </c>
      <c r="C63" s="64">
        <v>600080081</v>
      </c>
      <c r="D63" s="56">
        <v>72753846</v>
      </c>
      <c r="E63" s="73" t="s">
        <v>701</v>
      </c>
      <c r="F63" s="65">
        <v>3117</v>
      </c>
      <c r="G63" s="56" t="s">
        <v>278</v>
      </c>
      <c r="H63" s="66" t="s">
        <v>263</v>
      </c>
      <c r="I63" s="580">
        <v>534949</v>
      </c>
      <c r="J63" s="423">
        <v>396847</v>
      </c>
      <c r="K63" s="423">
        <v>0</v>
      </c>
      <c r="L63" s="14">
        <v>134134</v>
      </c>
      <c r="M63" s="14">
        <v>3968</v>
      </c>
      <c r="N63" s="14">
        <v>0</v>
      </c>
      <c r="O63" s="698">
        <v>1</v>
      </c>
      <c r="P63" s="440">
        <f t="shared" si="83"/>
        <v>0</v>
      </c>
      <c r="Q63" s="325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>P63+Q63+R63+S63+T63+U63</f>
        <v>0</v>
      </c>
      <c r="W63" s="325">
        <v>0</v>
      </c>
      <c r="X63" s="325">
        <v>0</v>
      </c>
      <c r="Y63" s="325">
        <v>0</v>
      </c>
      <c r="Z63" s="492">
        <f t="shared" si="84"/>
        <v>0</v>
      </c>
      <c r="AA63" s="492">
        <f t="shared" si="85"/>
        <v>0</v>
      </c>
      <c r="AB63" s="494">
        <f t="shared" si="86"/>
        <v>0</v>
      </c>
      <c r="AC63" s="55">
        <f>ROUND(V63*1%,0)</f>
        <v>0</v>
      </c>
      <c r="AD63" s="14">
        <v>0</v>
      </c>
      <c r="AE63" s="605">
        <f t="shared" si="4"/>
        <v>0</v>
      </c>
      <c r="AF63" s="688">
        <v>0</v>
      </c>
      <c r="AG63" s="326">
        <v>0</v>
      </c>
      <c r="AH63" s="326">
        <v>0</v>
      </c>
      <c r="AI63" s="326">
        <v>0</v>
      </c>
      <c r="AJ63" s="326">
        <v>0</v>
      </c>
      <c r="AK63" s="326">
        <v>0</v>
      </c>
      <c r="AL63" s="880">
        <f>SUM(AF63:AK63)</f>
        <v>0</v>
      </c>
      <c r="AM63" s="676">
        <f>I63+AE63</f>
        <v>534949</v>
      </c>
      <c r="AN63" s="492">
        <f>J63+V63</f>
        <v>396847</v>
      </c>
      <c r="AO63" s="492">
        <f t="shared" si="87"/>
        <v>0</v>
      </c>
      <c r="AP63" s="492">
        <f t="shared" si="88"/>
        <v>134134</v>
      </c>
      <c r="AQ63" s="492">
        <f t="shared" si="88"/>
        <v>3968</v>
      </c>
      <c r="AR63" s="492">
        <f t="shared" si="6"/>
        <v>0</v>
      </c>
      <c r="AS63" s="609">
        <f>O63+AL63</f>
        <v>1</v>
      </c>
    </row>
    <row r="64" spans="1:45" s="67" customFormat="1" ht="14.1" customHeight="1" x14ac:dyDescent="0.2">
      <c r="A64" s="88">
        <v>10</v>
      </c>
      <c r="B64" s="56">
        <v>2464</v>
      </c>
      <c r="C64" s="64">
        <v>600080081</v>
      </c>
      <c r="D64" s="56">
        <v>72753846</v>
      </c>
      <c r="E64" s="56" t="s">
        <v>701</v>
      </c>
      <c r="F64" s="65">
        <v>3143</v>
      </c>
      <c r="G64" s="56" t="s">
        <v>795</v>
      </c>
      <c r="H64" s="66" t="s">
        <v>262</v>
      </c>
      <c r="I64" s="580">
        <v>668888</v>
      </c>
      <c r="J64" s="14">
        <v>496208</v>
      </c>
      <c r="K64" s="14">
        <v>0</v>
      </c>
      <c r="L64" s="14">
        <v>167718</v>
      </c>
      <c r="M64" s="14">
        <v>4962</v>
      </c>
      <c r="N64" s="14">
        <v>0</v>
      </c>
      <c r="O64" s="633">
        <v>1.0832999999999999</v>
      </c>
      <c r="P64" s="440">
        <f t="shared" si="83"/>
        <v>0</v>
      </c>
      <c r="Q64" s="325">
        <v>0</v>
      </c>
      <c r="R64" s="325">
        <v>0</v>
      </c>
      <c r="S64" s="325">
        <v>0</v>
      </c>
      <c r="T64" s="325">
        <v>0</v>
      </c>
      <c r="U64" s="325">
        <v>0</v>
      </c>
      <c r="V64" s="492">
        <f>P64+Q64+R64+S64+T64+U64</f>
        <v>0</v>
      </c>
      <c r="W64" s="325">
        <v>0</v>
      </c>
      <c r="X64" s="325">
        <v>0</v>
      </c>
      <c r="Y64" s="325">
        <v>0</v>
      </c>
      <c r="Z64" s="492">
        <f t="shared" si="84"/>
        <v>0</v>
      </c>
      <c r="AA64" s="492">
        <f t="shared" si="85"/>
        <v>0</v>
      </c>
      <c r="AB64" s="494">
        <f t="shared" si="86"/>
        <v>0</v>
      </c>
      <c r="AC64" s="55">
        <f>ROUND(V64*1%,0)</f>
        <v>0</v>
      </c>
      <c r="AD64" s="14">
        <v>0</v>
      </c>
      <c r="AE64" s="605">
        <f t="shared" si="4"/>
        <v>0</v>
      </c>
      <c r="AF64" s="688">
        <v>0</v>
      </c>
      <c r="AG64" s="326">
        <v>0</v>
      </c>
      <c r="AH64" s="326">
        <v>0</v>
      </c>
      <c r="AI64" s="326">
        <v>0</v>
      </c>
      <c r="AJ64" s="326">
        <v>0</v>
      </c>
      <c r="AK64" s="326">
        <v>0</v>
      </c>
      <c r="AL64" s="880">
        <f>SUM(AF64:AK64)</f>
        <v>0</v>
      </c>
      <c r="AM64" s="676">
        <f>I64+AE64</f>
        <v>668888</v>
      </c>
      <c r="AN64" s="492">
        <f>J64+V64</f>
        <v>496208</v>
      </c>
      <c r="AO64" s="492">
        <f t="shared" si="87"/>
        <v>0</v>
      </c>
      <c r="AP64" s="492">
        <f t="shared" si="88"/>
        <v>167718</v>
      </c>
      <c r="AQ64" s="492">
        <f t="shared" si="88"/>
        <v>4962</v>
      </c>
      <c r="AR64" s="492">
        <f t="shared" si="6"/>
        <v>0</v>
      </c>
      <c r="AS64" s="609">
        <f>O64+AL64</f>
        <v>1.0832999999999999</v>
      </c>
    </row>
    <row r="65" spans="1:45" s="67" customFormat="1" ht="14.1" customHeight="1" x14ac:dyDescent="0.2">
      <c r="A65" s="89">
        <v>10</v>
      </c>
      <c r="B65" s="68">
        <v>2464</v>
      </c>
      <c r="C65" s="69">
        <v>600080081</v>
      </c>
      <c r="D65" s="68">
        <v>72753846</v>
      </c>
      <c r="E65" s="68" t="s">
        <v>702</v>
      </c>
      <c r="F65" s="77"/>
      <c r="G65" s="71"/>
      <c r="H65" s="72"/>
      <c r="I65" s="581">
        <v>3773752</v>
      </c>
      <c r="J65" s="334">
        <v>2799520</v>
      </c>
      <c r="K65" s="334">
        <v>0</v>
      </c>
      <c r="L65" s="334">
        <v>946237</v>
      </c>
      <c r="M65" s="334">
        <v>27995</v>
      </c>
      <c r="N65" s="334">
        <v>0</v>
      </c>
      <c r="O65" s="74">
        <v>5.4788999999999994</v>
      </c>
      <c r="P65" s="692">
        <f t="shared" ref="P65:Z65" si="89">SUM(P61:P64)</f>
        <v>0</v>
      </c>
      <c r="Q65" s="334">
        <f t="shared" si="89"/>
        <v>0</v>
      </c>
      <c r="R65" s="334">
        <f t="shared" si="89"/>
        <v>0</v>
      </c>
      <c r="S65" s="334">
        <f t="shared" si="89"/>
        <v>0</v>
      </c>
      <c r="T65" s="334">
        <f t="shared" si="89"/>
        <v>0</v>
      </c>
      <c r="U65" s="334">
        <f t="shared" si="89"/>
        <v>0</v>
      </c>
      <c r="V65" s="334">
        <f t="shared" si="89"/>
        <v>0</v>
      </c>
      <c r="W65" s="334">
        <f t="shared" si="89"/>
        <v>0</v>
      </c>
      <c r="X65" s="334">
        <f t="shared" si="89"/>
        <v>0</v>
      </c>
      <c r="Y65" s="334">
        <f t="shared" si="89"/>
        <v>0</v>
      </c>
      <c r="Z65" s="334">
        <f t="shared" si="89"/>
        <v>0</v>
      </c>
      <c r="AA65" s="334">
        <f t="shared" ref="AA65:AS65" si="90">SUM(AA61:AA64)</f>
        <v>0</v>
      </c>
      <c r="AB65" s="334">
        <f t="shared" si="90"/>
        <v>0</v>
      </c>
      <c r="AC65" s="334">
        <f t="shared" si="90"/>
        <v>0</v>
      </c>
      <c r="AD65" s="334">
        <f t="shared" si="90"/>
        <v>0</v>
      </c>
      <c r="AE65" s="685">
        <f t="shared" si="90"/>
        <v>0</v>
      </c>
      <c r="AF65" s="689">
        <f t="shared" si="90"/>
        <v>0</v>
      </c>
      <c r="AG65" s="335">
        <f t="shared" si="90"/>
        <v>0</v>
      </c>
      <c r="AH65" s="335">
        <f t="shared" si="90"/>
        <v>0</v>
      </c>
      <c r="AI65" s="335">
        <f t="shared" si="90"/>
        <v>0</v>
      </c>
      <c r="AJ65" s="335">
        <f t="shared" si="90"/>
        <v>0</v>
      </c>
      <c r="AK65" s="335">
        <f t="shared" si="90"/>
        <v>0</v>
      </c>
      <c r="AL65" s="881">
        <f t="shared" si="90"/>
        <v>0</v>
      </c>
      <c r="AM65" s="581">
        <f t="shared" si="90"/>
        <v>3773752</v>
      </c>
      <c r="AN65" s="334">
        <f t="shared" si="90"/>
        <v>2799520</v>
      </c>
      <c r="AO65" s="334">
        <f t="shared" si="90"/>
        <v>0</v>
      </c>
      <c r="AP65" s="334">
        <f t="shared" si="90"/>
        <v>946237</v>
      </c>
      <c r="AQ65" s="334">
        <f t="shared" si="90"/>
        <v>27995</v>
      </c>
      <c r="AR65" s="334">
        <f t="shared" si="90"/>
        <v>0</v>
      </c>
      <c r="AS65" s="74">
        <f t="shared" si="90"/>
        <v>5.4788999999999994</v>
      </c>
    </row>
    <row r="66" spans="1:45" s="67" customFormat="1" ht="14.1" customHeight="1" x14ac:dyDescent="0.2">
      <c r="A66" s="88">
        <v>11</v>
      </c>
      <c r="B66" s="73">
        <v>2467</v>
      </c>
      <c r="C66" s="64">
        <v>600079708</v>
      </c>
      <c r="D66" s="56">
        <v>71012303</v>
      </c>
      <c r="E66" s="399" t="s">
        <v>703</v>
      </c>
      <c r="F66" s="65">
        <v>3111</v>
      </c>
      <c r="G66" s="56" t="s">
        <v>277</v>
      </c>
      <c r="H66" s="66" t="s">
        <v>262</v>
      </c>
      <c r="I66" s="580">
        <v>1697404</v>
      </c>
      <c r="J66" s="14">
        <v>1246100</v>
      </c>
      <c r="K66" s="14">
        <v>13200</v>
      </c>
      <c r="L66" s="14">
        <v>425643</v>
      </c>
      <c r="M66" s="14">
        <v>12461</v>
      </c>
      <c r="N66" s="14">
        <v>0</v>
      </c>
      <c r="O66" s="633">
        <v>2.08</v>
      </c>
      <c r="P66" s="440">
        <f t="shared" si="83"/>
        <v>-8800</v>
      </c>
      <c r="Q66" s="325">
        <v>0</v>
      </c>
      <c r="R66" s="325">
        <v>0</v>
      </c>
      <c r="S66" s="325">
        <v>0</v>
      </c>
      <c r="T66" s="325">
        <v>0</v>
      </c>
      <c r="U66" s="325">
        <v>0</v>
      </c>
      <c r="V66" s="492">
        <f>P66+Q66+R66+S66+T66+U66</f>
        <v>-8800</v>
      </c>
      <c r="W66" s="325">
        <v>8800</v>
      </c>
      <c r="X66" s="325">
        <v>0</v>
      </c>
      <c r="Y66" s="325">
        <v>0</v>
      </c>
      <c r="Z66" s="492">
        <f t="shared" ref="Z66:Z67" si="91">W66+X66+Y66</f>
        <v>8800</v>
      </c>
      <c r="AA66" s="492">
        <f t="shared" ref="AA66:AA67" si="92">V66+Z66</f>
        <v>0</v>
      </c>
      <c r="AB66" s="494">
        <f t="shared" ref="AB66:AB67" si="93">ROUND((V66+Z66)*33.8%,0)</f>
        <v>0</v>
      </c>
      <c r="AC66" s="55">
        <f>ROUND(V66*1%,0)</f>
        <v>-88</v>
      </c>
      <c r="AD66" s="14">
        <v>0</v>
      </c>
      <c r="AE66" s="605">
        <f t="shared" si="4"/>
        <v>-88</v>
      </c>
      <c r="AF66" s="688">
        <v>-0.02</v>
      </c>
      <c r="AG66" s="326">
        <v>0</v>
      </c>
      <c r="AH66" s="326">
        <v>0</v>
      </c>
      <c r="AI66" s="326">
        <v>0</v>
      </c>
      <c r="AJ66" s="326">
        <v>0</v>
      </c>
      <c r="AK66" s="326">
        <v>0</v>
      </c>
      <c r="AL66" s="880">
        <f>SUM(AF66:AK66)</f>
        <v>-0.02</v>
      </c>
      <c r="AM66" s="676">
        <f>I66+AE66</f>
        <v>1697316</v>
      </c>
      <c r="AN66" s="492">
        <f>J66+V66</f>
        <v>1237300</v>
      </c>
      <c r="AO66" s="492">
        <f t="shared" ref="AO66:AO67" si="94">K66+Z66</f>
        <v>22000</v>
      </c>
      <c r="AP66" s="492">
        <f>L66+AB66</f>
        <v>425643</v>
      </c>
      <c r="AQ66" s="492">
        <f>M66+AC66</f>
        <v>12373</v>
      </c>
      <c r="AR66" s="492">
        <f t="shared" si="6"/>
        <v>0</v>
      </c>
      <c r="AS66" s="609">
        <f>O66+AL66</f>
        <v>2.06</v>
      </c>
    </row>
    <row r="67" spans="1:45" s="67" customFormat="1" ht="14.1" customHeight="1" x14ac:dyDescent="0.2">
      <c r="A67" s="88">
        <v>11</v>
      </c>
      <c r="B67" s="73">
        <v>2467</v>
      </c>
      <c r="C67" s="64">
        <v>600079708</v>
      </c>
      <c r="D67" s="56">
        <v>71012303</v>
      </c>
      <c r="E67" s="400" t="s">
        <v>703</v>
      </c>
      <c r="F67" s="65">
        <v>3111</v>
      </c>
      <c r="G67" s="56" t="s">
        <v>278</v>
      </c>
      <c r="H67" s="66" t="s">
        <v>263</v>
      </c>
      <c r="I67" s="580">
        <v>0</v>
      </c>
      <c r="J67" s="423">
        <v>0</v>
      </c>
      <c r="K67" s="423">
        <v>0</v>
      </c>
      <c r="L67" s="14">
        <v>0</v>
      </c>
      <c r="M67" s="14">
        <v>0</v>
      </c>
      <c r="N67" s="14">
        <v>0</v>
      </c>
      <c r="O67" s="698">
        <v>0</v>
      </c>
      <c r="P67" s="440">
        <f t="shared" si="83"/>
        <v>0</v>
      </c>
      <c r="Q67" s="325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>P67+Q67+R67+S67+T67+U67</f>
        <v>0</v>
      </c>
      <c r="W67" s="325">
        <v>0</v>
      </c>
      <c r="X67" s="325">
        <v>0</v>
      </c>
      <c r="Y67" s="325">
        <v>0</v>
      </c>
      <c r="Z67" s="492">
        <f t="shared" si="91"/>
        <v>0</v>
      </c>
      <c r="AA67" s="492">
        <f t="shared" si="92"/>
        <v>0</v>
      </c>
      <c r="AB67" s="494">
        <f t="shared" si="93"/>
        <v>0</v>
      </c>
      <c r="AC67" s="55">
        <f>ROUND(V67*1%,0)</f>
        <v>0</v>
      </c>
      <c r="AD67" s="14">
        <v>0</v>
      </c>
      <c r="AE67" s="605">
        <f t="shared" si="4"/>
        <v>0</v>
      </c>
      <c r="AF67" s="688">
        <v>0</v>
      </c>
      <c r="AG67" s="326">
        <v>0</v>
      </c>
      <c r="AH67" s="326">
        <v>0</v>
      </c>
      <c r="AI67" s="326">
        <v>0</v>
      </c>
      <c r="AJ67" s="326">
        <v>0</v>
      </c>
      <c r="AK67" s="326">
        <v>0</v>
      </c>
      <c r="AL67" s="880">
        <f>SUM(AF67:AK67)</f>
        <v>0</v>
      </c>
      <c r="AM67" s="676">
        <f>I67+AE67</f>
        <v>0</v>
      </c>
      <c r="AN67" s="492">
        <f>J67+V67</f>
        <v>0</v>
      </c>
      <c r="AO67" s="492">
        <f t="shared" si="94"/>
        <v>0</v>
      </c>
      <c r="AP67" s="492">
        <f>L67+AB67</f>
        <v>0</v>
      </c>
      <c r="AQ67" s="492">
        <f>M67+AC67</f>
        <v>0</v>
      </c>
      <c r="AR67" s="492">
        <f t="shared" si="6"/>
        <v>0</v>
      </c>
      <c r="AS67" s="609">
        <f>O67+AL67</f>
        <v>0</v>
      </c>
    </row>
    <row r="68" spans="1:45" s="67" customFormat="1" ht="14.1" customHeight="1" x14ac:dyDescent="0.2">
      <c r="A68" s="89">
        <v>11</v>
      </c>
      <c r="B68" s="68">
        <v>2467</v>
      </c>
      <c r="C68" s="69">
        <v>600079708</v>
      </c>
      <c r="D68" s="68">
        <v>71012303</v>
      </c>
      <c r="E68" s="68" t="s">
        <v>704</v>
      </c>
      <c r="F68" s="77"/>
      <c r="G68" s="71"/>
      <c r="H68" s="72"/>
      <c r="I68" s="581">
        <v>1697404</v>
      </c>
      <c r="J68" s="334">
        <v>1246100</v>
      </c>
      <c r="K68" s="334">
        <v>13200</v>
      </c>
      <c r="L68" s="334">
        <v>425643</v>
      </c>
      <c r="M68" s="334">
        <v>12461</v>
      </c>
      <c r="N68" s="334">
        <v>0</v>
      </c>
      <c r="O68" s="74">
        <v>2.08</v>
      </c>
      <c r="P68" s="692">
        <f t="shared" ref="P68:Z68" si="95">SUM(P66:P67)</f>
        <v>-8800</v>
      </c>
      <c r="Q68" s="334">
        <f t="shared" si="95"/>
        <v>0</v>
      </c>
      <c r="R68" s="334">
        <f t="shared" si="95"/>
        <v>0</v>
      </c>
      <c r="S68" s="334">
        <f t="shared" si="95"/>
        <v>0</v>
      </c>
      <c r="T68" s="334">
        <f t="shared" si="95"/>
        <v>0</v>
      </c>
      <c r="U68" s="334">
        <f t="shared" si="95"/>
        <v>0</v>
      </c>
      <c r="V68" s="334">
        <f t="shared" si="95"/>
        <v>-8800</v>
      </c>
      <c r="W68" s="334">
        <f t="shared" si="95"/>
        <v>8800</v>
      </c>
      <c r="X68" s="334">
        <f t="shared" si="95"/>
        <v>0</v>
      </c>
      <c r="Y68" s="334">
        <f t="shared" si="95"/>
        <v>0</v>
      </c>
      <c r="Z68" s="334">
        <f t="shared" si="95"/>
        <v>8800</v>
      </c>
      <c r="AA68" s="334">
        <f t="shared" ref="AA68:AS68" si="96">SUM(AA66:AA67)</f>
        <v>0</v>
      </c>
      <c r="AB68" s="334">
        <f t="shared" si="96"/>
        <v>0</v>
      </c>
      <c r="AC68" s="334">
        <f t="shared" si="96"/>
        <v>-88</v>
      </c>
      <c r="AD68" s="334">
        <f t="shared" si="96"/>
        <v>0</v>
      </c>
      <c r="AE68" s="685">
        <f t="shared" si="96"/>
        <v>-88</v>
      </c>
      <c r="AF68" s="689">
        <f t="shared" si="96"/>
        <v>-0.02</v>
      </c>
      <c r="AG68" s="335">
        <f t="shared" si="96"/>
        <v>0</v>
      </c>
      <c r="AH68" s="335">
        <f t="shared" si="96"/>
        <v>0</v>
      </c>
      <c r="AI68" s="335">
        <f t="shared" si="96"/>
        <v>0</v>
      </c>
      <c r="AJ68" s="335">
        <f t="shared" si="96"/>
        <v>0</v>
      </c>
      <c r="AK68" s="335">
        <f t="shared" si="96"/>
        <v>0</v>
      </c>
      <c r="AL68" s="881">
        <f t="shared" si="96"/>
        <v>-0.02</v>
      </c>
      <c r="AM68" s="581">
        <f t="shared" si="96"/>
        <v>1697316</v>
      </c>
      <c r="AN68" s="334">
        <f t="shared" si="96"/>
        <v>1237300</v>
      </c>
      <c r="AO68" s="334">
        <f t="shared" si="96"/>
        <v>22000</v>
      </c>
      <c r="AP68" s="334">
        <f t="shared" si="96"/>
        <v>425643</v>
      </c>
      <c r="AQ68" s="334">
        <f t="shared" si="96"/>
        <v>12373</v>
      </c>
      <c r="AR68" s="334">
        <f t="shared" si="96"/>
        <v>0</v>
      </c>
      <c r="AS68" s="74">
        <f t="shared" si="96"/>
        <v>2.06</v>
      </c>
    </row>
    <row r="69" spans="1:45" s="67" customFormat="1" ht="14.1" customHeight="1" x14ac:dyDescent="0.2">
      <c r="A69" s="88">
        <v>12</v>
      </c>
      <c r="B69" s="73">
        <v>2408</v>
      </c>
      <c r="C69" s="64">
        <v>600079058</v>
      </c>
      <c r="D69" s="56">
        <v>72741511</v>
      </c>
      <c r="E69" s="56" t="s">
        <v>705</v>
      </c>
      <c r="F69" s="65">
        <v>3111</v>
      </c>
      <c r="G69" s="56" t="s">
        <v>277</v>
      </c>
      <c r="H69" s="66" t="s">
        <v>262</v>
      </c>
      <c r="I69" s="580">
        <v>1980001</v>
      </c>
      <c r="J69" s="14">
        <v>1468844</v>
      </c>
      <c r="K69" s="14">
        <v>0</v>
      </c>
      <c r="L69" s="14">
        <v>496469</v>
      </c>
      <c r="M69" s="14">
        <v>14688</v>
      </c>
      <c r="N69" s="14">
        <v>0</v>
      </c>
      <c r="O69" s="633">
        <v>2.371</v>
      </c>
      <c r="P69" s="440">
        <f t="shared" si="83"/>
        <v>0</v>
      </c>
      <c r="Q69" s="325">
        <v>0</v>
      </c>
      <c r="R69" s="325">
        <v>0</v>
      </c>
      <c r="S69" s="325">
        <v>0</v>
      </c>
      <c r="T69" s="325">
        <v>0</v>
      </c>
      <c r="U69" s="325">
        <v>0</v>
      </c>
      <c r="V69" s="492">
        <f>P69+Q69+R69+S69+T69+U69</f>
        <v>0</v>
      </c>
      <c r="W69" s="325">
        <v>0</v>
      </c>
      <c r="X69" s="325">
        <v>0</v>
      </c>
      <c r="Y69" s="325">
        <v>0</v>
      </c>
      <c r="Z69" s="492">
        <f t="shared" ref="Z69:Z70" si="97">W69+X69+Y69</f>
        <v>0</v>
      </c>
      <c r="AA69" s="492">
        <f t="shared" ref="AA69:AA70" si="98">V69+Z69</f>
        <v>0</v>
      </c>
      <c r="AB69" s="494">
        <f t="shared" ref="AB69:AB70" si="99">ROUND((V69+Z69)*33.8%,0)</f>
        <v>0</v>
      </c>
      <c r="AC69" s="55">
        <f>ROUND(V69*1%,0)</f>
        <v>0</v>
      </c>
      <c r="AD69" s="14">
        <v>0</v>
      </c>
      <c r="AE69" s="605">
        <f t="shared" si="4"/>
        <v>0</v>
      </c>
      <c r="AF69" s="688">
        <v>0</v>
      </c>
      <c r="AG69" s="326">
        <v>0</v>
      </c>
      <c r="AH69" s="326">
        <v>0</v>
      </c>
      <c r="AI69" s="326">
        <v>0</v>
      </c>
      <c r="AJ69" s="326">
        <v>0</v>
      </c>
      <c r="AK69" s="326">
        <v>0</v>
      </c>
      <c r="AL69" s="880">
        <f>SUM(AF69:AK69)</f>
        <v>0</v>
      </c>
      <c r="AM69" s="676">
        <f>I69+AE69</f>
        <v>1980001</v>
      </c>
      <c r="AN69" s="492">
        <f>J69+V69</f>
        <v>1468844</v>
      </c>
      <c r="AO69" s="492">
        <f t="shared" ref="AO69:AO70" si="100">K69+Z69</f>
        <v>0</v>
      </c>
      <c r="AP69" s="492">
        <f>L69+AB69</f>
        <v>496469</v>
      </c>
      <c r="AQ69" s="492">
        <f>M69+AC69</f>
        <v>14688</v>
      </c>
      <c r="AR69" s="492">
        <f t="shared" si="6"/>
        <v>0</v>
      </c>
      <c r="AS69" s="609">
        <f>O69+AL69</f>
        <v>2.371</v>
      </c>
    </row>
    <row r="70" spans="1:45" s="67" customFormat="1" ht="14.1" customHeight="1" x14ac:dyDescent="0.2">
      <c r="A70" s="88">
        <v>12</v>
      </c>
      <c r="B70" s="56">
        <v>2408</v>
      </c>
      <c r="C70" s="64">
        <v>600079058</v>
      </c>
      <c r="D70" s="56">
        <v>72741511</v>
      </c>
      <c r="E70" s="56" t="s">
        <v>705</v>
      </c>
      <c r="F70" s="65">
        <v>3111</v>
      </c>
      <c r="G70" s="56" t="s">
        <v>278</v>
      </c>
      <c r="H70" s="66" t="s">
        <v>263</v>
      </c>
      <c r="I70" s="580">
        <v>401213</v>
      </c>
      <c r="J70" s="423">
        <v>297636</v>
      </c>
      <c r="K70" s="423">
        <v>0</v>
      </c>
      <c r="L70" s="14">
        <v>100601</v>
      </c>
      <c r="M70" s="14">
        <v>2976</v>
      </c>
      <c r="N70" s="14">
        <v>0</v>
      </c>
      <c r="O70" s="698">
        <v>0.75</v>
      </c>
      <c r="P70" s="440">
        <f t="shared" si="83"/>
        <v>0</v>
      </c>
      <c r="Q70" s="325">
        <v>0</v>
      </c>
      <c r="R70" s="325">
        <v>0</v>
      </c>
      <c r="S70" s="325">
        <v>0</v>
      </c>
      <c r="T70" s="325">
        <v>0</v>
      </c>
      <c r="U70" s="325">
        <v>0</v>
      </c>
      <c r="V70" s="492">
        <f>P70+Q70+R70+S70+T70+U70</f>
        <v>0</v>
      </c>
      <c r="W70" s="325">
        <v>0</v>
      </c>
      <c r="X70" s="325">
        <v>0</v>
      </c>
      <c r="Y70" s="325">
        <v>0</v>
      </c>
      <c r="Z70" s="492">
        <f t="shared" si="97"/>
        <v>0</v>
      </c>
      <c r="AA70" s="492">
        <f t="shared" si="98"/>
        <v>0</v>
      </c>
      <c r="AB70" s="494">
        <f t="shared" si="99"/>
        <v>0</v>
      </c>
      <c r="AC70" s="55">
        <f>ROUND(V70*1%,0)</f>
        <v>0</v>
      </c>
      <c r="AD70" s="14">
        <v>0</v>
      </c>
      <c r="AE70" s="605">
        <f t="shared" si="4"/>
        <v>0</v>
      </c>
      <c r="AF70" s="688">
        <v>0</v>
      </c>
      <c r="AG70" s="326">
        <v>0</v>
      </c>
      <c r="AH70" s="326">
        <v>0</v>
      </c>
      <c r="AI70" s="326">
        <v>0</v>
      </c>
      <c r="AJ70" s="326">
        <v>0</v>
      </c>
      <c r="AK70" s="326">
        <v>0</v>
      </c>
      <c r="AL70" s="880">
        <f>SUM(AF70:AK70)</f>
        <v>0</v>
      </c>
      <c r="AM70" s="676">
        <f>I70+AE70</f>
        <v>401213</v>
      </c>
      <c r="AN70" s="492">
        <f>J70+V70</f>
        <v>297636</v>
      </c>
      <c r="AO70" s="492">
        <f t="shared" si="100"/>
        <v>0</v>
      </c>
      <c r="AP70" s="492">
        <f>L70+AB70</f>
        <v>100601</v>
      </c>
      <c r="AQ70" s="492">
        <f>M70+AC70</f>
        <v>2976</v>
      </c>
      <c r="AR70" s="492">
        <f t="shared" si="6"/>
        <v>0</v>
      </c>
      <c r="AS70" s="609">
        <f>O70+AL70</f>
        <v>0.75</v>
      </c>
    </row>
    <row r="71" spans="1:45" s="67" customFormat="1" ht="14.1" customHeight="1" x14ac:dyDescent="0.2">
      <c r="A71" s="89">
        <v>12</v>
      </c>
      <c r="B71" s="68">
        <v>2408</v>
      </c>
      <c r="C71" s="69">
        <v>600079058</v>
      </c>
      <c r="D71" s="68">
        <v>72741511</v>
      </c>
      <c r="E71" s="68" t="s">
        <v>706</v>
      </c>
      <c r="F71" s="70"/>
      <c r="G71" s="71"/>
      <c r="H71" s="72"/>
      <c r="I71" s="581">
        <v>2381214</v>
      </c>
      <c r="J71" s="334">
        <v>1766480</v>
      </c>
      <c r="K71" s="334">
        <v>0</v>
      </c>
      <c r="L71" s="334">
        <v>597070</v>
      </c>
      <c r="M71" s="334">
        <v>17664</v>
      </c>
      <c r="N71" s="334">
        <v>0</v>
      </c>
      <c r="O71" s="74">
        <v>3.121</v>
      </c>
      <c r="P71" s="692">
        <f t="shared" ref="P71:Z71" si="101">SUM(P69:P70)</f>
        <v>0</v>
      </c>
      <c r="Q71" s="334">
        <f t="shared" si="101"/>
        <v>0</v>
      </c>
      <c r="R71" s="334">
        <f t="shared" si="101"/>
        <v>0</v>
      </c>
      <c r="S71" s="334">
        <f t="shared" si="101"/>
        <v>0</v>
      </c>
      <c r="T71" s="334">
        <f t="shared" si="101"/>
        <v>0</v>
      </c>
      <c r="U71" s="334">
        <f t="shared" si="101"/>
        <v>0</v>
      </c>
      <c r="V71" s="334">
        <f t="shared" si="101"/>
        <v>0</v>
      </c>
      <c r="W71" s="334">
        <f t="shared" si="101"/>
        <v>0</v>
      </c>
      <c r="X71" s="334">
        <f t="shared" si="101"/>
        <v>0</v>
      </c>
      <c r="Y71" s="334">
        <f t="shared" si="101"/>
        <v>0</v>
      </c>
      <c r="Z71" s="334">
        <f t="shared" si="101"/>
        <v>0</v>
      </c>
      <c r="AA71" s="334">
        <f t="shared" ref="AA71:AS71" si="102">SUM(AA69:AA70)</f>
        <v>0</v>
      </c>
      <c r="AB71" s="334">
        <f t="shared" si="102"/>
        <v>0</v>
      </c>
      <c r="AC71" s="334">
        <f t="shared" si="102"/>
        <v>0</v>
      </c>
      <c r="AD71" s="334">
        <f t="shared" si="102"/>
        <v>0</v>
      </c>
      <c r="AE71" s="685">
        <f t="shared" si="102"/>
        <v>0</v>
      </c>
      <c r="AF71" s="689">
        <f t="shared" si="102"/>
        <v>0</v>
      </c>
      <c r="AG71" s="335">
        <f t="shared" si="102"/>
        <v>0</v>
      </c>
      <c r="AH71" s="335">
        <f t="shared" si="102"/>
        <v>0</v>
      </c>
      <c r="AI71" s="335">
        <f t="shared" si="102"/>
        <v>0</v>
      </c>
      <c r="AJ71" s="335">
        <f t="shared" si="102"/>
        <v>0</v>
      </c>
      <c r="AK71" s="335">
        <f t="shared" si="102"/>
        <v>0</v>
      </c>
      <c r="AL71" s="881">
        <f t="shared" si="102"/>
        <v>0</v>
      </c>
      <c r="AM71" s="581">
        <f t="shared" si="102"/>
        <v>2381214</v>
      </c>
      <c r="AN71" s="334">
        <f t="shared" si="102"/>
        <v>1766480</v>
      </c>
      <c r="AO71" s="334">
        <f t="shared" si="102"/>
        <v>0</v>
      </c>
      <c r="AP71" s="334">
        <f t="shared" si="102"/>
        <v>597070</v>
      </c>
      <c r="AQ71" s="334">
        <f t="shared" si="102"/>
        <v>17664</v>
      </c>
      <c r="AR71" s="334">
        <f t="shared" si="102"/>
        <v>0</v>
      </c>
      <c r="AS71" s="74">
        <f t="shared" si="102"/>
        <v>3.121</v>
      </c>
    </row>
    <row r="72" spans="1:45" s="67" customFormat="1" ht="14.1" customHeight="1" x14ac:dyDescent="0.2">
      <c r="A72" s="88">
        <v>13</v>
      </c>
      <c r="B72" s="56">
        <v>2304</v>
      </c>
      <c r="C72" s="64">
        <v>600080382</v>
      </c>
      <c r="D72" s="56">
        <v>72743417</v>
      </c>
      <c r="E72" s="56" t="s">
        <v>707</v>
      </c>
      <c r="F72" s="65">
        <v>3113</v>
      </c>
      <c r="G72" s="56" t="s">
        <v>280</v>
      </c>
      <c r="H72" s="66" t="s">
        <v>262</v>
      </c>
      <c r="I72" s="580">
        <v>4279507</v>
      </c>
      <c r="J72" s="14">
        <v>3174708</v>
      </c>
      <c r="K72" s="14">
        <v>0</v>
      </c>
      <c r="L72" s="14">
        <v>1073052</v>
      </c>
      <c r="M72" s="14">
        <v>31747</v>
      </c>
      <c r="N72" s="14">
        <v>0</v>
      </c>
      <c r="O72" s="633">
        <v>4.9089999999999998</v>
      </c>
      <c r="P72" s="440">
        <f t="shared" si="83"/>
        <v>0</v>
      </c>
      <c r="Q72" s="325">
        <v>0</v>
      </c>
      <c r="R72" s="325">
        <v>0</v>
      </c>
      <c r="S72" s="325">
        <v>0</v>
      </c>
      <c r="T72" s="325">
        <v>0</v>
      </c>
      <c r="U72" s="325">
        <v>0</v>
      </c>
      <c r="V72" s="492">
        <f>P72+Q72+R72+S72+T72+U72</f>
        <v>0</v>
      </c>
      <c r="W72" s="325">
        <v>0</v>
      </c>
      <c r="X72" s="325">
        <v>0</v>
      </c>
      <c r="Y72" s="325">
        <v>0</v>
      </c>
      <c r="Z72" s="492">
        <f t="shared" ref="Z72:Z75" si="103">W72+X72+Y72</f>
        <v>0</v>
      </c>
      <c r="AA72" s="492">
        <f t="shared" ref="AA72:AA75" si="104">V72+Z72</f>
        <v>0</v>
      </c>
      <c r="AB72" s="494">
        <f t="shared" ref="AB72:AB75" si="105">ROUND((V72+Z72)*33.8%,0)</f>
        <v>0</v>
      </c>
      <c r="AC72" s="55">
        <f>ROUND(V72*1%,0)</f>
        <v>0</v>
      </c>
      <c r="AD72" s="14">
        <v>0</v>
      </c>
      <c r="AE72" s="605">
        <f t="shared" si="4"/>
        <v>0</v>
      </c>
      <c r="AF72" s="688">
        <v>0</v>
      </c>
      <c r="AG72" s="326">
        <v>0</v>
      </c>
      <c r="AH72" s="326">
        <v>0</v>
      </c>
      <c r="AI72" s="326">
        <v>0</v>
      </c>
      <c r="AJ72" s="326">
        <v>0</v>
      </c>
      <c r="AK72" s="326">
        <v>0</v>
      </c>
      <c r="AL72" s="880">
        <f>SUM(AF72:AK72)</f>
        <v>0</v>
      </c>
      <c r="AM72" s="676">
        <f>I72+AE72</f>
        <v>4279507</v>
      </c>
      <c r="AN72" s="492">
        <f>J72+V72</f>
        <v>3174708</v>
      </c>
      <c r="AO72" s="492">
        <f t="shared" ref="AO72:AO75" si="106">K72+Z72</f>
        <v>0</v>
      </c>
      <c r="AP72" s="492">
        <f t="shared" ref="AP72:AQ75" si="107">L72+AB72</f>
        <v>1073052</v>
      </c>
      <c r="AQ72" s="492">
        <f t="shared" si="107"/>
        <v>31747</v>
      </c>
      <c r="AR72" s="492">
        <f t="shared" si="6"/>
        <v>0</v>
      </c>
      <c r="AS72" s="609">
        <f>O72+AL72</f>
        <v>4.9089999999999998</v>
      </c>
    </row>
    <row r="73" spans="1:45" s="67" customFormat="1" ht="14.1" customHeight="1" x14ac:dyDescent="0.2">
      <c r="A73" s="88">
        <v>13</v>
      </c>
      <c r="B73" s="56">
        <v>2304</v>
      </c>
      <c r="C73" s="64">
        <v>600080382</v>
      </c>
      <c r="D73" s="56">
        <v>72743417</v>
      </c>
      <c r="E73" s="56" t="s">
        <v>707</v>
      </c>
      <c r="F73" s="65">
        <v>3113</v>
      </c>
      <c r="G73" s="39" t="s">
        <v>279</v>
      </c>
      <c r="H73" s="66" t="s">
        <v>262</v>
      </c>
      <c r="I73" s="580">
        <v>984169</v>
      </c>
      <c r="J73" s="14">
        <v>730096</v>
      </c>
      <c r="K73" s="14">
        <v>0</v>
      </c>
      <c r="L73" s="14">
        <v>246772</v>
      </c>
      <c r="M73" s="14">
        <v>7301</v>
      </c>
      <c r="N73" s="14">
        <v>0</v>
      </c>
      <c r="O73" s="633">
        <v>1.7222</v>
      </c>
      <c r="P73" s="440">
        <f t="shared" si="83"/>
        <v>0</v>
      </c>
      <c r="Q73" s="325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>P73+Q73+R73+S73+T73+U73</f>
        <v>0</v>
      </c>
      <c r="W73" s="325">
        <v>0</v>
      </c>
      <c r="X73" s="325">
        <v>0</v>
      </c>
      <c r="Y73" s="325">
        <v>0</v>
      </c>
      <c r="Z73" s="492">
        <f t="shared" si="103"/>
        <v>0</v>
      </c>
      <c r="AA73" s="492">
        <f t="shared" si="104"/>
        <v>0</v>
      </c>
      <c r="AB73" s="494">
        <f t="shared" si="105"/>
        <v>0</v>
      </c>
      <c r="AC73" s="55">
        <f>ROUND(V73*1%,0)</f>
        <v>0</v>
      </c>
      <c r="AD73" s="14">
        <v>0</v>
      </c>
      <c r="AE73" s="605">
        <f t="shared" si="4"/>
        <v>0</v>
      </c>
      <c r="AF73" s="688">
        <v>0</v>
      </c>
      <c r="AG73" s="326">
        <v>0</v>
      </c>
      <c r="AH73" s="326">
        <v>0</v>
      </c>
      <c r="AI73" s="326">
        <v>0</v>
      </c>
      <c r="AJ73" s="326">
        <v>0</v>
      </c>
      <c r="AK73" s="326">
        <v>0</v>
      </c>
      <c r="AL73" s="880">
        <f>SUM(AF73:AK73)</f>
        <v>0</v>
      </c>
      <c r="AM73" s="676">
        <f>I73+AE73</f>
        <v>984169</v>
      </c>
      <c r="AN73" s="492">
        <f>J73+V73</f>
        <v>730096</v>
      </c>
      <c r="AO73" s="492">
        <f t="shared" si="106"/>
        <v>0</v>
      </c>
      <c r="AP73" s="492">
        <f t="shared" si="107"/>
        <v>246772</v>
      </c>
      <c r="AQ73" s="492">
        <f t="shared" si="107"/>
        <v>7301</v>
      </c>
      <c r="AR73" s="492">
        <f t="shared" si="6"/>
        <v>0</v>
      </c>
      <c r="AS73" s="609">
        <f>O73+AL73</f>
        <v>1.7222</v>
      </c>
    </row>
    <row r="74" spans="1:45" s="67" customFormat="1" ht="14.1" customHeight="1" x14ac:dyDescent="0.2">
      <c r="A74" s="88">
        <v>13</v>
      </c>
      <c r="B74" s="56">
        <v>2304</v>
      </c>
      <c r="C74" s="64">
        <v>600080382</v>
      </c>
      <c r="D74" s="56">
        <v>72743417</v>
      </c>
      <c r="E74" s="56" t="s">
        <v>707</v>
      </c>
      <c r="F74" s="65">
        <v>3113</v>
      </c>
      <c r="G74" s="56" t="s">
        <v>278</v>
      </c>
      <c r="H74" s="66" t="s">
        <v>263</v>
      </c>
      <c r="I74" s="580">
        <v>802427</v>
      </c>
      <c r="J74" s="423">
        <v>595272</v>
      </c>
      <c r="K74" s="423">
        <v>0</v>
      </c>
      <c r="L74" s="14">
        <v>201202</v>
      </c>
      <c r="M74" s="14">
        <v>5953</v>
      </c>
      <c r="N74" s="14">
        <v>0</v>
      </c>
      <c r="O74" s="698">
        <v>1.5</v>
      </c>
      <c r="P74" s="440">
        <f t="shared" si="83"/>
        <v>0</v>
      </c>
      <c r="Q74" s="325">
        <v>0</v>
      </c>
      <c r="R74" s="325">
        <v>0</v>
      </c>
      <c r="S74" s="325">
        <v>0</v>
      </c>
      <c r="T74" s="325">
        <v>0</v>
      </c>
      <c r="U74" s="325">
        <v>0</v>
      </c>
      <c r="V74" s="492">
        <f>P74+Q74+R74+S74+T74+U74</f>
        <v>0</v>
      </c>
      <c r="W74" s="325">
        <v>0</v>
      </c>
      <c r="X74" s="325">
        <v>0</v>
      </c>
      <c r="Y74" s="325">
        <v>0</v>
      </c>
      <c r="Z74" s="492">
        <f t="shared" si="103"/>
        <v>0</v>
      </c>
      <c r="AA74" s="492">
        <f t="shared" si="104"/>
        <v>0</v>
      </c>
      <c r="AB74" s="494">
        <f t="shared" si="105"/>
        <v>0</v>
      </c>
      <c r="AC74" s="55">
        <f>ROUND(V74*1%,0)</f>
        <v>0</v>
      </c>
      <c r="AD74" s="14">
        <v>0</v>
      </c>
      <c r="AE74" s="605">
        <f t="shared" si="4"/>
        <v>0</v>
      </c>
      <c r="AF74" s="688">
        <v>0</v>
      </c>
      <c r="AG74" s="326">
        <v>0</v>
      </c>
      <c r="AH74" s="326">
        <v>0</v>
      </c>
      <c r="AI74" s="326">
        <v>0</v>
      </c>
      <c r="AJ74" s="326">
        <v>0</v>
      </c>
      <c r="AK74" s="326">
        <v>0</v>
      </c>
      <c r="AL74" s="880">
        <f>SUM(AF74:AK74)</f>
        <v>0</v>
      </c>
      <c r="AM74" s="676">
        <f>I74+AE74</f>
        <v>802427</v>
      </c>
      <c r="AN74" s="492">
        <f>J74+V74</f>
        <v>595272</v>
      </c>
      <c r="AO74" s="492">
        <f t="shared" si="106"/>
        <v>0</v>
      </c>
      <c r="AP74" s="492">
        <f t="shared" si="107"/>
        <v>201202</v>
      </c>
      <c r="AQ74" s="492">
        <f t="shared" si="107"/>
        <v>5953</v>
      </c>
      <c r="AR74" s="492">
        <f t="shared" si="6"/>
        <v>0</v>
      </c>
      <c r="AS74" s="609">
        <f>O74+AL74</f>
        <v>1.5</v>
      </c>
    </row>
    <row r="75" spans="1:45" s="67" customFormat="1" ht="14.1" customHeight="1" x14ac:dyDescent="0.2">
      <c r="A75" s="88">
        <v>13</v>
      </c>
      <c r="B75" s="56">
        <v>2304</v>
      </c>
      <c r="C75" s="64">
        <v>600080382</v>
      </c>
      <c r="D75" s="56">
        <v>72743417</v>
      </c>
      <c r="E75" s="56" t="s">
        <v>707</v>
      </c>
      <c r="F75" s="65">
        <v>3143</v>
      </c>
      <c r="G75" s="56" t="s">
        <v>794</v>
      </c>
      <c r="H75" s="66" t="s">
        <v>262</v>
      </c>
      <c r="I75" s="580">
        <v>309992</v>
      </c>
      <c r="J75" s="14">
        <v>229964</v>
      </c>
      <c r="K75" s="14">
        <v>0</v>
      </c>
      <c r="L75" s="14">
        <v>77728</v>
      </c>
      <c r="M75" s="14">
        <v>2300</v>
      </c>
      <c r="N75" s="14">
        <v>0</v>
      </c>
      <c r="O75" s="633">
        <v>0.5</v>
      </c>
      <c r="P75" s="440">
        <f t="shared" si="83"/>
        <v>0</v>
      </c>
      <c r="Q75" s="325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>P75+Q75+R75+S75+T75+U75</f>
        <v>0</v>
      </c>
      <c r="W75" s="325">
        <v>0</v>
      </c>
      <c r="X75" s="325">
        <v>0</v>
      </c>
      <c r="Y75" s="325">
        <v>0</v>
      </c>
      <c r="Z75" s="492">
        <f t="shared" si="103"/>
        <v>0</v>
      </c>
      <c r="AA75" s="492">
        <f t="shared" si="104"/>
        <v>0</v>
      </c>
      <c r="AB75" s="494">
        <f t="shared" si="105"/>
        <v>0</v>
      </c>
      <c r="AC75" s="55">
        <f>ROUND(V75*1%,0)</f>
        <v>0</v>
      </c>
      <c r="AD75" s="14">
        <v>0</v>
      </c>
      <c r="AE75" s="605">
        <f t="shared" si="4"/>
        <v>0</v>
      </c>
      <c r="AF75" s="688">
        <v>0</v>
      </c>
      <c r="AG75" s="326">
        <v>0</v>
      </c>
      <c r="AH75" s="326">
        <v>0</v>
      </c>
      <c r="AI75" s="326">
        <v>0</v>
      </c>
      <c r="AJ75" s="326">
        <v>0</v>
      </c>
      <c r="AK75" s="326">
        <v>0</v>
      </c>
      <c r="AL75" s="880">
        <f>SUM(AF75:AK75)</f>
        <v>0</v>
      </c>
      <c r="AM75" s="676">
        <f>I75+AE75</f>
        <v>309992</v>
      </c>
      <c r="AN75" s="492">
        <f>J75+V75</f>
        <v>229964</v>
      </c>
      <c r="AO75" s="492">
        <f t="shared" si="106"/>
        <v>0</v>
      </c>
      <c r="AP75" s="492">
        <f t="shared" si="107"/>
        <v>77728</v>
      </c>
      <c r="AQ75" s="492">
        <f t="shared" si="107"/>
        <v>2300</v>
      </c>
      <c r="AR75" s="492">
        <f t="shared" si="6"/>
        <v>0</v>
      </c>
      <c r="AS75" s="609">
        <f>O75+AL75</f>
        <v>0.5</v>
      </c>
    </row>
    <row r="76" spans="1:45" s="67" customFormat="1" ht="14.1" customHeight="1" x14ac:dyDescent="0.2">
      <c r="A76" s="89">
        <v>13</v>
      </c>
      <c r="B76" s="68">
        <v>2304</v>
      </c>
      <c r="C76" s="69">
        <v>600080382</v>
      </c>
      <c r="D76" s="68">
        <v>72743417</v>
      </c>
      <c r="E76" s="68" t="s">
        <v>708</v>
      </c>
      <c r="F76" s="70"/>
      <c r="G76" s="71"/>
      <c r="H76" s="72"/>
      <c r="I76" s="581">
        <v>6376095</v>
      </c>
      <c r="J76" s="334">
        <v>4730040</v>
      </c>
      <c r="K76" s="334">
        <v>0</v>
      </c>
      <c r="L76" s="334">
        <v>1598754</v>
      </c>
      <c r="M76" s="334">
        <v>47301</v>
      </c>
      <c r="N76" s="334">
        <v>0</v>
      </c>
      <c r="O76" s="74">
        <v>8.6311999999999998</v>
      </c>
      <c r="P76" s="692">
        <f t="shared" ref="P76:Z76" si="108">SUM(P72:P75)</f>
        <v>0</v>
      </c>
      <c r="Q76" s="334">
        <f t="shared" si="108"/>
        <v>0</v>
      </c>
      <c r="R76" s="334">
        <f t="shared" si="108"/>
        <v>0</v>
      </c>
      <c r="S76" s="334">
        <f t="shared" si="108"/>
        <v>0</v>
      </c>
      <c r="T76" s="334">
        <f t="shared" si="108"/>
        <v>0</v>
      </c>
      <c r="U76" s="334">
        <f t="shared" si="108"/>
        <v>0</v>
      </c>
      <c r="V76" s="334">
        <f t="shared" si="108"/>
        <v>0</v>
      </c>
      <c r="W76" s="334">
        <f t="shared" si="108"/>
        <v>0</v>
      </c>
      <c r="X76" s="334">
        <f t="shared" si="108"/>
        <v>0</v>
      </c>
      <c r="Y76" s="334">
        <f t="shared" si="108"/>
        <v>0</v>
      </c>
      <c r="Z76" s="334">
        <f t="shared" si="108"/>
        <v>0</v>
      </c>
      <c r="AA76" s="334">
        <f t="shared" ref="AA76:AS76" si="109">SUM(AA72:AA75)</f>
        <v>0</v>
      </c>
      <c r="AB76" s="334">
        <f t="shared" si="109"/>
        <v>0</v>
      </c>
      <c r="AC76" s="334">
        <f t="shared" si="109"/>
        <v>0</v>
      </c>
      <c r="AD76" s="334">
        <f t="shared" si="109"/>
        <v>0</v>
      </c>
      <c r="AE76" s="685">
        <f t="shared" si="109"/>
        <v>0</v>
      </c>
      <c r="AF76" s="689">
        <f t="shared" si="109"/>
        <v>0</v>
      </c>
      <c r="AG76" s="335">
        <f t="shared" si="109"/>
        <v>0</v>
      </c>
      <c r="AH76" s="335">
        <f t="shared" si="109"/>
        <v>0</v>
      </c>
      <c r="AI76" s="335">
        <f t="shared" si="109"/>
        <v>0</v>
      </c>
      <c r="AJ76" s="335">
        <f t="shared" si="109"/>
        <v>0</v>
      </c>
      <c r="AK76" s="335">
        <f t="shared" si="109"/>
        <v>0</v>
      </c>
      <c r="AL76" s="881">
        <f t="shared" si="109"/>
        <v>0</v>
      </c>
      <c r="AM76" s="581">
        <f t="shared" si="109"/>
        <v>6376095</v>
      </c>
      <c r="AN76" s="334">
        <f t="shared" si="109"/>
        <v>4730040</v>
      </c>
      <c r="AO76" s="334">
        <f t="shared" si="109"/>
        <v>0</v>
      </c>
      <c r="AP76" s="334">
        <f t="shared" si="109"/>
        <v>1598754</v>
      </c>
      <c r="AQ76" s="334">
        <f t="shared" si="109"/>
        <v>47301</v>
      </c>
      <c r="AR76" s="334">
        <f t="shared" si="109"/>
        <v>0</v>
      </c>
      <c r="AS76" s="74">
        <f t="shared" si="109"/>
        <v>8.6311999999999998</v>
      </c>
    </row>
    <row r="77" spans="1:45" s="67" customFormat="1" ht="14.1" customHeight="1" x14ac:dyDescent="0.2">
      <c r="A77" s="88">
        <v>14</v>
      </c>
      <c r="B77" s="73">
        <v>2438</v>
      </c>
      <c r="C77" s="64">
        <v>600079384</v>
      </c>
      <c r="D77" s="56">
        <v>72741911</v>
      </c>
      <c r="E77" s="56" t="s">
        <v>709</v>
      </c>
      <c r="F77" s="65">
        <v>3111</v>
      </c>
      <c r="G77" s="56" t="s">
        <v>277</v>
      </c>
      <c r="H77" s="66" t="s">
        <v>262</v>
      </c>
      <c r="I77" s="580">
        <v>8621049</v>
      </c>
      <c r="J77" s="14">
        <v>6395437</v>
      </c>
      <c r="K77" s="14">
        <v>0</v>
      </c>
      <c r="L77" s="14">
        <v>2161658</v>
      </c>
      <c r="M77" s="14">
        <v>63954</v>
      </c>
      <c r="N77" s="14">
        <v>0</v>
      </c>
      <c r="O77" s="633">
        <v>10.387</v>
      </c>
      <c r="P77" s="440">
        <f t="shared" si="83"/>
        <v>0</v>
      </c>
      <c r="Q77" s="325">
        <v>0</v>
      </c>
      <c r="R77" s="325">
        <v>0</v>
      </c>
      <c r="S77" s="325">
        <v>0</v>
      </c>
      <c r="T77" s="325">
        <v>0</v>
      </c>
      <c r="U77" s="325">
        <v>0</v>
      </c>
      <c r="V77" s="492">
        <f>P77+Q77+R77+S77+T77+U77</f>
        <v>0</v>
      </c>
      <c r="W77" s="325">
        <v>0</v>
      </c>
      <c r="X77" s="325">
        <v>0</v>
      </c>
      <c r="Y77" s="325">
        <v>0</v>
      </c>
      <c r="Z77" s="492">
        <f t="shared" ref="Z77:Z78" si="110">W77+X77+Y77</f>
        <v>0</v>
      </c>
      <c r="AA77" s="492">
        <f t="shared" ref="AA77:AA78" si="111">V77+Z77</f>
        <v>0</v>
      </c>
      <c r="AB77" s="494">
        <f t="shared" ref="AB77:AB78" si="112">ROUND((V77+Z77)*33.8%,0)</f>
        <v>0</v>
      </c>
      <c r="AC77" s="55">
        <f>ROUND(V77*1%,0)</f>
        <v>0</v>
      </c>
      <c r="AD77" s="14">
        <v>0</v>
      </c>
      <c r="AE77" s="605">
        <f t="shared" ref="AE77:AE101" si="113">AA77+AB77+AC77+AD77</f>
        <v>0</v>
      </c>
      <c r="AF77" s="688">
        <v>0</v>
      </c>
      <c r="AG77" s="326">
        <v>0</v>
      </c>
      <c r="AH77" s="326">
        <v>0</v>
      </c>
      <c r="AI77" s="326">
        <v>0</v>
      </c>
      <c r="AJ77" s="326">
        <v>0</v>
      </c>
      <c r="AK77" s="326">
        <v>0</v>
      </c>
      <c r="AL77" s="880">
        <f>SUM(AF77:AK77)</f>
        <v>0</v>
      </c>
      <c r="AM77" s="676">
        <f>I77+AE77</f>
        <v>8621049</v>
      </c>
      <c r="AN77" s="492">
        <f>J77+V77</f>
        <v>6395437</v>
      </c>
      <c r="AO77" s="492">
        <f t="shared" ref="AO77:AO78" si="114">K77+Z77</f>
        <v>0</v>
      </c>
      <c r="AP77" s="492">
        <f>L77+AB77</f>
        <v>2161658</v>
      </c>
      <c r="AQ77" s="492">
        <f>M77+AC77</f>
        <v>63954</v>
      </c>
      <c r="AR77" s="492">
        <f t="shared" ref="AR77:AR101" si="115">N77+AD77</f>
        <v>0</v>
      </c>
      <c r="AS77" s="609">
        <f>O77+AL77</f>
        <v>10.387</v>
      </c>
    </row>
    <row r="78" spans="1:45" s="67" customFormat="1" ht="14.1" customHeight="1" x14ac:dyDescent="0.2">
      <c r="A78" s="88">
        <v>14</v>
      </c>
      <c r="B78" s="56">
        <v>2438</v>
      </c>
      <c r="C78" s="64">
        <v>600079384</v>
      </c>
      <c r="D78" s="56">
        <v>72741911</v>
      </c>
      <c r="E78" s="56" t="s">
        <v>709</v>
      </c>
      <c r="F78" s="65">
        <v>3111</v>
      </c>
      <c r="G78" s="56" t="s">
        <v>278</v>
      </c>
      <c r="H78" s="66" t="s">
        <v>263</v>
      </c>
      <c r="I78" s="580">
        <v>1810005</v>
      </c>
      <c r="J78" s="423">
        <v>1342734</v>
      </c>
      <c r="K78" s="423">
        <v>0</v>
      </c>
      <c r="L78" s="14">
        <v>453844</v>
      </c>
      <c r="M78" s="14">
        <v>13427</v>
      </c>
      <c r="N78" s="14">
        <v>0</v>
      </c>
      <c r="O78" s="698">
        <v>3.35</v>
      </c>
      <c r="P78" s="440">
        <f t="shared" si="83"/>
        <v>0</v>
      </c>
      <c r="Q78" s="325">
        <v>223227</v>
      </c>
      <c r="R78" s="325">
        <v>0</v>
      </c>
      <c r="S78" s="325">
        <v>0</v>
      </c>
      <c r="T78" s="325">
        <v>0</v>
      </c>
      <c r="U78" s="325">
        <v>0</v>
      </c>
      <c r="V78" s="492">
        <f>P78+Q78+R78+S78+T78+U78</f>
        <v>223227</v>
      </c>
      <c r="W78" s="325">
        <v>0</v>
      </c>
      <c r="X78" s="325">
        <v>0</v>
      </c>
      <c r="Y78" s="325">
        <v>0</v>
      </c>
      <c r="Z78" s="492">
        <f t="shared" si="110"/>
        <v>0</v>
      </c>
      <c r="AA78" s="492">
        <f t="shared" si="111"/>
        <v>223227</v>
      </c>
      <c r="AB78" s="494">
        <f t="shared" si="112"/>
        <v>75451</v>
      </c>
      <c r="AC78" s="55">
        <f>ROUND(V78*1%,0)</f>
        <v>2232</v>
      </c>
      <c r="AD78" s="14">
        <v>0</v>
      </c>
      <c r="AE78" s="605">
        <f t="shared" si="113"/>
        <v>300910</v>
      </c>
      <c r="AF78" s="688">
        <v>0</v>
      </c>
      <c r="AG78" s="326">
        <v>0.56000000000000005</v>
      </c>
      <c r="AH78" s="326">
        <v>0</v>
      </c>
      <c r="AI78" s="326">
        <v>0</v>
      </c>
      <c r="AJ78" s="326">
        <v>0</v>
      </c>
      <c r="AK78" s="326">
        <v>0</v>
      </c>
      <c r="AL78" s="880">
        <f>SUM(AF78:AK78)</f>
        <v>0.56000000000000005</v>
      </c>
      <c r="AM78" s="676">
        <f>I78+AE78</f>
        <v>2110915</v>
      </c>
      <c r="AN78" s="492">
        <f>J78+V78</f>
        <v>1565961</v>
      </c>
      <c r="AO78" s="492">
        <f t="shared" si="114"/>
        <v>0</v>
      </c>
      <c r="AP78" s="492">
        <f>L78+AB78</f>
        <v>529295</v>
      </c>
      <c r="AQ78" s="492">
        <f>M78+AC78</f>
        <v>15659</v>
      </c>
      <c r="AR78" s="492">
        <f t="shared" si="115"/>
        <v>0</v>
      </c>
      <c r="AS78" s="609">
        <f>O78+AL78</f>
        <v>3.91</v>
      </c>
    </row>
    <row r="79" spans="1:45" s="67" customFormat="1" ht="14.1" customHeight="1" x14ac:dyDescent="0.2">
      <c r="A79" s="89">
        <v>14</v>
      </c>
      <c r="B79" s="68">
        <v>2438</v>
      </c>
      <c r="C79" s="69">
        <v>600079384</v>
      </c>
      <c r="D79" s="68">
        <v>72741911</v>
      </c>
      <c r="E79" s="68" t="s">
        <v>710</v>
      </c>
      <c r="F79" s="70"/>
      <c r="G79" s="71"/>
      <c r="H79" s="72"/>
      <c r="I79" s="581">
        <v>10431054</v>
      </c>
      <c r="J79" s="334">
        <v>7738171</v>
      </c>
      <c r="K79" s="334">
        <v>0</v>
      </c>
      <c r="L79" s="334">
        <v>2615502</v>
      </c>
      <c r="M79" s="334">
        <v>77381</v>
      </c>
      <c r="N79" s="334">
        <v>0</v>
      </c>
      <c r="O79" s="74">
        <v>13.737</v>
      </c>
      <c r="P79" s="692">
        <f t="shared" ref="P79:Z79" si="116">SUM(P77:P78)</f>
        <v>0</v>
      </c>
      <c r="Q79" s="334">
        <f t="shared" si="116"/>
        <v>223227</v>
      </c>
      <c r="R79" s="334">
        <f t="shared" si="116"/>
        <v>0</v>
      </c>
      <c r="S79" s="334">
        <f t="shared" si="116"/>
        <v>0</v>
      </c>
      <c r="T79" s="334">
        <f t="shared" si="116"/>
        <v>0</v>
      </c>
      <c r="U79" s="334">
        <f t="shared" si="116"/>
        <v>0</v>
      </c>
      <c r="V79" s="334">
        <f t="shared" si="116"/>
        <v>223227</v>
      </c>
      <c r="W79" s="334">
        <f t="shared" si="116"/>
        <v>0</v>
      </c>
      <c r="X79" s="334">
        <f t="shared" si="116"/>
        <v>0</v>
      </c>
      <c r="Y79" s="334">
        <f t="shared" si="116"/>
        <v>0</v>
      </c>
      <c r="Z79" s="334">
        <f t="shared" si="116"/>
        <v>0</v>
      </c>
      <c r="AA79" s="334">
        <f t="shared" ref="AA79:AS79" si="117">SUM(AA77:AA78)</f>
        <v>223227</v>
      </c>
      <c r="AB79" s="334">
        <f t="shared" si="117"/>
        <v>75451</v>
      </c>
      <c r="AC79" s="334">
        <f t="shared" si="117"/>
        <v>2232</v>
      </c>
      <c r="AD79" s="334">
        <f t="shared" si="117"/>
        <v>0</v>
      </c>
      <c r="AE79" s="685">
        <f t="shared" si="117"/>
        <v>300910</v>
      </c>
      <c r="AF79" s="689">
        <f t="shared" si="117"/>
        <v>0</v>
      </c>
      <c r="AG79" s="335">
        <f t="shared" si="117"/>
        <v>0.56000000000000005</v>
      </c>
      <c r="AH79" s="335">
        <f t="shared" si="117"/>
        <v>0</v>
      </c>
      <c r="AI79" s="335">
        <f t="shared" si="117"/>
        <v>0</v>
      </c>
      <c r="AJ79" s="335">
        <f t="shared" si="117"/>
        <v>0</v>
      </c>
      <c r="AK79" s="335">
        <f t="shared" si="117"/>
        <v>0</v>
      </c>
      <c r="AL79" s="881">
        <f t="shared" si="117"/>
        <v>0.56000000000000005</v>
      </c>
      <c r="AM79" s="581">
        <f t="shared" si="117"/>
        <v>10731964</v>
      </c>
      <c r="AN79" s="334">
        <f t="shared" si="117"/>
        <v>7961398</v>
      </c>
      <c r="AO79" s="334">
        <f t="shared" si="117"/>
        <v>0</v>
      </c>
      <c r="AP79" s="334">
        <f t="shared" si="117"/>
        <v>2690953</v>
      </c>
      <c r="AQ79" s="334">
        <f t="shared" si="117"/>
        <v>79613</v>
      </c>
      <c r="AR79" s="334">
        <f t="shared" si="117"/>
        <v>0</v>
      </c>
      <c r="AS79" s="74">
        <f t="shared" si="117"/>
        <v>14.297000000000001</v>
      </c>
    </row>
    <row r="80" spans="1:45" s="67" customFormat="1" ht="14.1" customHeight="1" x14ac:dyDescent="0.2">
      <c r="A80" s="88">
        <v>15</v>
      </c>
      <c r="B80" s="56">
        <v>2315</v>
      </c>
      <c r="C80" s="64">
        <v>600080447</v>
      </c>
      <c r="D80" s="56">
        <v>46744819</v>
      </c>
      <c r="E80" s="56" t="s">
        <v>711</v>
      </c>
      <c r="F80" s="65">
        <v>3233</v>
      </c>
      <c r="G80" s="56" t="s">
        <v>283</v>
      </c>
      <c r="H80" s="66" t="s">
        <v>263</v>
      </c>
      <c r="I80" s="580">
        <v>1369935</v>
      </c>
      <c r="J80" s="423">
        <v>1016272</v>
      </c>
      <c r="K80" s="423">
        <v>0</v>
      </c>
      <c r="L80" s="14">
        <v>343500</v>
      </c>
      <c r="M80" s="14">
        <v>10163</v>
      </c>
      <c r="N80" s="14">
        <v>0</v>
      </c>
      <c r="O80" s="698">
        <v>1.72</v>
      </c>
      <c r="P80" s="440">
        <f t="shared" si="83"/>
        <v>-400000</v>
      </c>
      <c r="Q80" s="325">
        <v>0</v>
      </c>
      <c r="R80" s="325">
        <v>0</v>
      </c>
      <c r="S80" s="325">
        <v>0</v>
      </c>
      <c r="T80" s="325">
        <v>0</v>
      </c>
      <c r="U80" s="325">
        <v>0</v>
      </c>
      <c r="V80" s="492">
        <f>P80+Q80+R80+S80+T80+U80</f>
        <v>-400000</v>
      </c>
      <c r="W80" s="325">
        <v>400000</v>
      </c>
      <c r="X80" s="325">
        <v>0</v>
      </c>
      <c r="Y80" s="325">
        <v>0</v>
      </c>
      <c r="Z80" s="492">
        <f>W80+X80+Y80</f>
        <v>400000</v>
      </c>
      <c r="AA80" s="492">
        <f>V80+Z80</f>
        <v>0</v>
      </c>
      <c r="AB80" s="494">
        <f>ROUND((V80+Z80)*33.8%,0)</f>
        <v>0</v>
      </c>
      <c r="AC80" s="55">
        <f>ROUND(V80*1%,0)</f>
        <v>-4000</v>
      </c>
      <c r="AD80" s="14">
        <v>0</v>
      </c>
      <c r="AE80" s="605">
        <f t="shared" si="113"/>
        <v>-4000</v>
      </c>
      <c r="AF80" s="688">
        <v>-0.69</v>
      </c>
      <c r="AG80" s="326">
        <v>0</v>
      </c>
      <c r="AH80" s="326">
        <v>0</v>
      </c>
      <c r="AI80" s="326">
        <v>0</v>
      </c>
      <c r="AJ80" s="326">
        <v>0</v>
      </c>
      <c r="AK80" s="326">
        <v>0</v>
      </c>
      <c r="AL80" s="880">
        <f>SUM(AF80:AK80)</f>
        <v>-0.69</v>
      </c>
      <c r="AM80" s="676">
        <f>I80+AE80</f>
        <v>1365935</v>
      </c>
      <c r="AN80" s="492">
        <f>J80+V80</f>
        <v>616272</v>
      </c>
      <c r="AO80" s="492">
        <f>K80+Z80</f>
        <v>400000</v>
      </c>
      <c r="AP80" s="492">
        <f>L80+AB80</f>
        <v>343500</v>
      </c>
      <c r="AQ80" s="492">
        <f>M80+AC80</f>
        <v>6163</v>
      </c>
      <c r="AR80" s="492">
        <f t="shared" si="115"/>
        <v>0</v>
      </c>
      <c r="AS80" s="609">
        <f>O80+AL80</f>
        <v>1.03</v>
      </c>
    </row>
    <row r="81" spans="1:45" s="67" customFormat="1" ht="14.1" customHeight="1" x14ac:dyDescent="0.2">
      <c r="A81" s="89">
        <v>15</v>
      </c>
      <c r="B81" s="68">
        <v>2315</v>
      </c>
      <c r="C81" s="69">
        <v>600080447</v>
      </c>
      <c r="D81" s="68">
        <v>46744819</v>
      </c>
      <c r="E81" s="68" t="s">
        <v>712</v>
      </c>
      <c r="F81" s="70"/>
      <c r="G81" s="71"/>
      <c r="H81" s="72"/>
      <c r="I81" s="581">
        <v>1369935</v>
      </c>
      <c r="J81" s="334">
        <v>1016272</v>
      </c>
      <c r="K81" s="334">
        <v>0</v>
      </c>
      <c r="L81" s="334">
        <v>343500</v>
      </c>
      <c r="M81" s="334">
        <v>10163</v>
      </c>
      <c r="N81" s="334">
        <v>0</v>
      </c>
      <c r="O81" s="74">
        <v>1.72</v>
      </c>
      <c r="P81" s="692">
        <f t="shared" ref="P81:AS81" si="118">SUM(P80:P80)</f>
        <v>-400000</v>
      </c>
      <c r="Q81" s="334">
        <f t="shared" si="118"/>
        <v>0</v>
      </c>
      <c r="R81" s="334">
        <f t="shared" si="118"/>
        <v>0</v>
      </c>
      <c r="S81" s="334">
        <f t="shared" si="118"/>
        <v>0</v>
      </c>
      <c r="T81" s="334">
        <f t="shared" si="118"/>
        <v>0</v>
      </c>
      <c r="U81" s="334">
        <f t="shared" si="118"/>
        <v>0</v>
      </c>
      <c r="V81" s="334">
        <f t="shared" si="118"/>
        <v>-400000</v>
      </c>
      <c r="W81" s="334">
        <f t="shared" si="118"/>
        <v>400000</v>
      </c>
      <c r="X81" s="334">
        <f t="shared" si="118"/>
        <v>0</v>
      </c>
      <c r="Y81" s="334">
        <f t="shared" si="118"/>
        <v>0</v>
      </c>
      <c r="Z81" s="334">
        <f t="shared" si="118"/>
        <v>400000</v>
      </c>
      <c r="AA81" s="334">
        <f t="shared" si="118"/>
        <v>0</v>
      </c>
      <c r="AB81" s="334">
        <f t="shared" si="118"/>
        <v>0</v>
      </c>
      <c r="AC81" s="334">
        <f t="shared" si="118"/>
        <v>-4000</v>
      </c>
      <c r="AD81" s="334">
        <f t="shared" si="118"/>
        <v>0</v>
      </c>
      <c r="AE81" s="685">
        <f t="shared" si="118"/>
        <v>-4000</v>
      </c>
      <c r="AF81" s="689">
        <f t="shared" si="118"/>
        <v>-0.69</v>
      </c>
      <c r="AG81" s="335">
        <f t="shared" si="118"/>
        <v>0</v>
      </c>
      <c r="AH81" s="335">
        <f t="shared" si="118"/>
        <v>0</v>
      </c>
      <c r="AI81" s="335">
        <f t="shared" si="118"/>
        <v>0</v>
      </c>
      <c r="AJ81" s="335">
        <f t="shared" si="118"/>
        <v>0</v>
      </c>
      <c r="AK81" s="335">
        <f t="shared" si="118"/>
        <v>0</v>
      </c>
      <c r="AL81" s="881">
        <f t="shared" si="118"/>
        <v>-0.69</v>
      </c>
      <c r="AM81" s="581">
        <f t="shared" si="118"/>
        <v>1365935</v>
      </c>
      <c r="AN81" s="334">
        <f t="shared" si="118"/>
        <v>616272</v>
      </c>
      <c r="AO81" s="334">
        <f t="shared" si="118"/>
        <v>400000</v>
      </c>
      <c r="AP81" s="334">
        <f t="shared" si="118"/>
        <v>343500</v>
      </c>
      <c r="AQ81" s="334">
        <f t="shared" si="118"/>
        <v>6163</v>
      </c>
      <c r="AR81" s="334">
        <f t="shared" si="118"/>
        <v>0</v>
      </c>
      <c r="AS81" s="74">
        <f t="shared" si="118"/>
        <v>1.03</v>
      </c>
    </row>
    <row r="82" spans="1:45" s="67" customFormat="1" ht="14.1" customHeight="1" x14ac:dyDescent="0.2">
      <c r="A82" s="88">
        <v>16</v>
      </c>
      <c r="B82" s="56">
        <v>2494</v>
      </c>
      <c r="C82" s="64">
        <v>600080315</v>
      </c>
      <c r="D82" s="56">
        <v>72741996</v>
      </c>
      <c r="E82" s="56" t="s">
        <v>713</v>
      </c>
      <c r="F82" s="65">
        <v>3113</v>
      </c>
      <c r="G82" s="56" t="s">
        <v>280</v>
      </c>
      <c r="H82" s="66" t="s">
        <v>262</v>
      </c>
      <c r="I82" s="580">
        <v>23973745</v>
      </c>
      <c r="J82" s="14">
        <v>17784677</v>
      </c>
      <c r="K82" s="14">
        <v>0</v>
      </c>
      <c r="L82" s="14">
        <v>6011221</v>
      </c>
      <c r="M82" s="14">
        <v>177847</v>
      </c>
      <c r="N82" s="14">
        <v>0</v>
      </c>
      <c r="O82" s="633">
        <v>26.075600000000001</v>
      </c>
      <c r="P82" s="440">
        <f>(W82*-1)+Y82*-1</f>
        <v>0</v>
      </c>
      <c r="Q82" s="325">
        <v>0</v>
      </c>
      <c r="R82" s="325">
        <v>0</v>
      </c>
      <c r="S82" s="325">
        <v>0</v>
      </c>
      <c r="T82" s="325">
        <v>0</v>
      </c>
      <c r="U82" s="325">
        <v>0</v>
      </c>
      <c r="V82" s="492">
        <f>P82+Q82+R82+S82+T82+U82</f>
        <v>0</v>
      </c>
      <c r="W82" s="325">
        <v>0</v>
      </c>
      <c r="X82" s="325">
        <v>0</v>
      </c>
      <c r="Y82" s="325">
        <v>0</v>
      </c>
      <c r="Z82" s="492">
        <f t="shared" ref="Z82:Z86" si="119">W82+X82+Y82</f>
        <v>0</v>
      </c>
      <c r="AA82" s="492">
        <f t="shared" ref="AA82:AA86" si="120">V82+Z82</f>
        <v>0</v>
      </c>
      <c r="AB82" s="494">
        <f t="shared" ref="AB82:AB86" si="121">ROUND((V82+Z82)*33.8%,0)</f>
        <v>0</v>
      </c>
      <c r="AC82" s="55">
        <f>ROUND(V82*1%,0)</f>
        <v>0</v>
      </c>
      <c r="AD82" s="14">
        <v>0</v>
      </c>
      <c r="AE82" s="605">
        <f t="shared" si="113"/>
        <v>0</v>
      </c>
      <c r="AF82" s="688">
        <v>0</v>
      </c>
      <c r="AG82" s="326">
        <v>0</v>
      </c>
      <c r="AH82" s="326">
        <v>0</v>
      </c>
      <c r="AI82" s="326">
        <v>0</v>
      </c>
      <c r="AJ82" s="326">
        <v>0</v>
      </c>
      <c r="AK82" s="326">
        <v>0</v>
      </c>
      <c r="AL82" s="880">
        <f>SUM(AF82:AK82)</f>
        <v>0</v>
      </c>
      <c r="AM82" s="676">
        <f>I82+AE82</f>
        <v>23973745</v>
      </c>
      <c r="AN82" s="492">
        <f>J82+V82</f>
        <v>17784677</v>
      </c>
      <c r="AO82" s="492">
        <f t="shared" ref="AO82:AO86" si="122">K82+Z82</f>
        <v>0</v>
      </c>
      <c r="AP82" s="492">
        <f t="shared" ref="AP82:AQ86" si="123">L82+AB82</f>
        <v>6011221</v>
      </c>
      <c r="AQ82" s="492">
        <f t="shared" si="123"/>
        <v>177847</v>
      </c>
      <c r="AR82" s="492">
        <f t="shared" si="115"/>
        <v>0</v>
      </c>
      <c r="AS82" s="609">
        <f>O82+AL82</f>
        <v>26.075600000000001</v>
      </c>
    </row>
    <row r="83" spans="1:45" s="67" customFormat="1" ht="14.1" customHeight="1" x14ac:dyDescent="0.2">
      <c r="A83" s="88">
        <v>16</v>
      </c>
      <c r="B83" s="56">
        <v>2494</v>
      </c>
      <c r="C83" s="64">
        <v>600080315</v>
      </c>
      <c r="D83" s="56">
        <v>72741996</v>
      </c>
      <c r="E83" s="56" t="s">
        <v>713</v>
      </c>
      <c r="F83" s="65">
        <v>3113</v>
      </c>
      <c r="G83" s="39" t="s">
        <v>279</v>
      </c>
      <c r="H83" s="66" t="s">
        <v>262</v>
      </c>
      <c r="I83" s="580">
        <v>929505</v>
      </c>
      <c r="J83" s="14">
        <v>689544</v>
      </c>
      <c r="K83" s="14">
        <v>0</v>
      </c>
      <c r="L83" s="14">
        <v>233066</v>
      </c>
      <c r="M83" s="14">
        <v>6895</v>
      </c>
      <c r="N83" s="14">
        <v>0</v>
      </c>
      <c r="O83" s="633">
        <v>1.5</v>
      </c>
      <c r="P83" s="440">
        <f t="shared" si="83"/>
        <v>0</v>
      </c>
      <c r="Q83" s="325">
        <v>0</v>
      </c>
      <c r="R83" s="325">
        <v>0</v>
      </c>
      <c r="S83" s="325">
        <v>0</v>
      </c>
      <c r="T83" s="325">
        <v>0</v>
      </c>
      <c r="U83" s="325">
        <v>0</v>
      </c>
      <c r="V83" s="492">
        <f>P83+Q83+R83+S83+T83+U83</f>
        <v>0</v>
      </c>
      <c r="W83" s="325">
        <v>0</v>
      </c>
      <c r="X83" s="325">
        <v>0</v>
      </c>
      <c r="Y83" s="325">
        <v>0</v>
      </c>
      <c r="Z83" s="492">
        <f t="shared" si="119"/>
        <v>0</v>
      </c>
      <c r="AA83" s="492">
        <f t="shared" si="120"/>
        <v>0</v>
      </c>
      <c r="AB83" s="494">
        <f t="shared" si="121"/>
        <v>0</v>
      </c>
      <c r="AC83" s="55">
        <f>ROUND(V83*1%,0)</f>
        <v>0</v>
      </c>
      <c r="AD83" s="14">
        <v>0</v>
      </c>
      <c r="AE83" s="605">
        <f t="shared" si="113"/>
        <v>0</v>
      </c>
      <c r="AF83" s="688">
        <v>0</v>
      </c>
      <c r="AG83" s="326">
        <v>0</v>
      </c>
      <c r="AH83" s="326">
        <v>0</v>
      </c>
      <c r="AI83" s="326">
        <v>0</v>
      </c>
      <c r="AJ83" s="326">
        <v>0</v>
      </c>
      <c r="AK83" s="326">
        <v>0</v>
      </c>
      <c r="AL83" s="880">
        <f>SUM(AF83:AK83)</f>
        <v>0</v>
      </c>
      <c r="AM83" s="676">
        <f>I83+AE83</f>
        <v>929505</v>
      </c>
      <c r="AN83" s="492">
        <f>J83+V83</f>
        <v>689544</v>
      </c>
      <c r="AO83" s="492">
        <f t="shared" si="122"/>
        <v>0</v>
      </c>
      <c r="AP83" s="492">
        <f t="shared" si="123"/>
        <v>233066</v>
      </c>
      <c r="AQ83" s="492">
        <f t="shared" si="123"/>
        <v>6895</v>
      </c>
      <c r="AR83" s="492">
        <f t="shared" si="115"/>
        <v>0</v>
      </c>
      <c r="AS83" s="609">
        <f>O83+AL83</f>
        <v>1.5</v>
      </c>
    </row>
    <row r="84" spans="1:45" s="67" customFormat="1" ht="14.1" customHeight="1" x14ac:dyDescent="0.2">
      <c r="A84" s="88">
        <v>16</v>
      </c>
      <c r="B84" s="56">
        <v>2494</v>
      </c>
      <c r="C84" s="64">
        <v>600080315</v>
      </c>
      <c r="D84" s="56">
        <v>72741996</v>
      </c>
      <c r="E84" s="56" t="s">
        <v>713</v>
      </c>
      <c r="F84" s="65">
        <v>3113</v>
      </c>
      <c r="G84" s="56" t="s">
        <v>799</v>
      </c>
      <c r="H84" s="66" t="s">
        <v>262</v>
      </c>
      <c r="I84" s="580">
        <v>132867</v>
      </c>
      <c r="J84" s="14">
        <v>98566</v>
      </c>
      <c r="K84" s="14">
        <v>0</v>
      </c>
      <c r="L84" s="14">
        <v>33315</v>
      </c>
      <c r="M84" s="14">
        <v>986</v>
      </c>
      <c r="N84" s="14">
        <v>0</v>
      </c>
      <c r="O84" s="633">
        <v>0.2</v>
      </c>
      <c r="P84" s="440">
        <f t="shared" ref="P84:P85" si="124">W84*-1</f>
        <v>0</v>
      </c>
      <c r="Q84" s="325">
        <v>0</v>
      </c>
      <c r="R84" s="325">
        <v>0</v>
      </c>
      <c r="S84" s="325">
        <v>0</v>
      </c>
      <c r="T84" s="325">
        <v>0</v>
      </c>
      <c r="U84" s="325">
        <v>0</v>
      </c>
      <c r="V84" s="492">
        <f>P84+Q84+R84+S84+T84+U84</f>
        <v>0</v>
      </c>
      <c r="W84" s="325">
        <v>0</v>
      </c>
      <c r="X84" s="325">
        <v>0</v>
      </c>
      <c r="Y84" s="325">
        <v>0</v>
      </c>
      <c r="Z84" s="492">
        <f t="shared" ref="Z84" si="125">W84+X84+Y84</f>
        <v>0</v>
      </c>
      <c r="AA84" s="492">
        <f t="shared" ref="AA84" si="126">V84+Z84</f>
        <v>0</v>
      </c>
      <c r="AB84" s="494">
        <f t="shared" ref="AB84" si="127">ROUND((V84+Z84)*33.8%,0)</f>
        <v>0</v>
      </c>
      <c r="AC84" s="55">
        <f>ROUND(V84*1%,0)</f>
        <v>0</v>
      </c>
      <c r="AD84" s="14">
        <v>0</v>
      </c>
      <c r="AE84" s="605">
        <f t="shared" si="113"/>
        <v>0</v>
      </c>
      <c r="AF84" s="688">
        <v>0</v>
      </c>
      <c r="AG84" s="326">
        <v>0</v>
      </c>
      <c r="AH84" s="326">
        <v>0</v>
      </c>
      <c r="AI84" s="326">
        <v>0</v>
      </c>
      <c r="AJ84" s="326">
        <v>0</v>
      </c>
      <c r="AK84" s="326">
        <v>0</v>
      </c>
      <c r="AL84" s="880">
        <f>SUM(AF84:AK84)</f>
        <v>0</v>
      </c>
      <c r="AM84" s="676">
        <f>I84+AE84</f>
        <v>132867</v>
      </c>
      <c r="AN84" s="492">
        <f>J84+V84</f>
        <v>98566</v>
      </c>
      <c r="AO84" s="492">
        <f t="shared" si="122"/>
        <v>0</v>
      </c>
      <c r="AP84" s="492">
        <f t="shared" si="123"/>
        <v>33315</v>
      </c>
      <c r="AQ84" s="492">
        <f t="shared" si="123"/>
        <v>986</v>
      </c>
      <c r="AR84" s="492">
        <f t="shared" si="115"/>
        <v>0</v>
      </c>
      <c r="AS84" s="609">
        <f>O84+AL84</f>
        <v>0.2</v>
      </c>
    </row>
    <row r="85" spans="1:45" s="67" customFormat="1" ht="14.1" customHeight="1" x14ac:dyDescent="0.2">
      <c r="A85" s="88">
        <v>16</v>
      </c>
      <c r="B85" s="73">
        <v>2494</v>
      </c>
      <c r="C85" s="64">
        <v>600080315</v>
      </c>
      <c r="D85" s="56">
        <v>72741996</v>
      </c>
      <c r="E85" s="73" t="s">
        <v>713</v>
      </c>
      <c r="F85" s="65">
        <v>3113</v>
      </c>
      <c r="G85" s="56" t="s">
        <v>278</v>
      </c>
      <c r="H85" s="66" t="s">
        <v>263</v>
      </c>
      <c r="I85" s="580">
        <v>5790238</v>
      </c>
      <c r="J85" s="423">
        <v>4295429</v>
      </c>
      <c r="K85" s="423">
        <v>0</v>
      </c>
      <c r="L85" s="14">
        <v>1451855</v>
      </c>
      <c r="M85" s="14">
        <v>42954</v>
      </c>
      <c r="N85" s="14">
        <v>0</v>
      </c>
      <c r="O85" s="698">
        <v>10.51</v>
      </c>
      <c r="P85" s="440">
        <f t="shared" si="124"/>
        <v>0</v>
      </c>
      <c r="Q85" s="325">
        <v>275306</v>
      </c>
      <c r="R85" s="325">
        <v>0</v>
      </c>
      <c r="S85" s="325">
        <v>0</v>
      </c>
      <c r="T85" s="325">
        <v>0</v>
      </c>
      <c r="U85" s="325">
        <v>0</v>
      </c>
      <c r="V85" s="492">
        <f>P85+Q85+R85+S85+T85+U85</f>
        <v>275306</v>
      </c>
      <c r="W85" s="325">
        <v>0</v>
      </c>
      <c r="X85" s="325">
        <v>0</v>
      </c>
      <c r="Y85" s="325">
        <v>0</v>
      </c>
      <c r="Z85" s="492">
        <f t="shared" si="119"/>
        <v>0</v>
      </c>
      <c r="AA85" s="492">
        <f t="shared" si="120"/>
        <v>275306</v>
      </c>
      <c r="AB85" s="494">
        <f t="shared" si="121"/>
        <v>93053</v>
      </c>
      <c r="AC85" s="55">
        <f>ROUND(V85*1%,0)</f>
        <v>2753</v>
      </c>
      <c r="AD85" s="14">
        <v>0</v>
      </c>
      <c r="AE85" s="605">
        <f t="shared" si="113"/>
        <v>371112</v>
      </c>
      <c r="AF85" s="688">
        <v>0</v>
      </c>
      <c r="AG85" s="326">
        <v>0.65</v>
      </c>
      <c r="AH85" s="326">
        <v>0</v>
      </c>
      <c r="AI85" s="326">
        <v>0</v>
      </c>
      <c r="AJ85" s="326">
        <v>0</v>
      </c>
      <c r="AK85" s="326">
        <v>0</v>
      </c>
      <c r="AL85" s="880">
        <f>SUM(AF85:AK85)</f>
        <v>0.65</v>
      </c>
      <c r="AM85" s="676">
        <f>I85+AE85</f>
        <v>6161350</v>
      </c>
      <c r="AN85" s="492">
        <f>J85+V85</f>
        <v>4570735</v>
      </c>
      <c r="AO85" s="492">
        <f t="shared" si="122"/>
        <v>0</v>
      </c>
      <c r="AP85" s="492">
        <f t="shared" si="123"/>
        <v>1544908</v>
      </c>
      <c r="AQ85" s="492">
        <f t="shared" si="123"/>
        <v>45707</v>
      </c>
      <c r="AR85" s="492">
        <f t="shared" si="115"/>
        <v>0</v>
      </c>
      <c r="AS85" s="609">
        <f>O85+AL85</f>
        <v>11.16</v>
      </c>
    </row>
    <row r="86" spans="1:45" s="67" customFormat="1" ht="14.1" customHeight="1" x14ac:dyDescent="0.2">
      <c r="A86" s="88">
        <v>16</v>
      </c>
      <c r="B86" s="56">
        <v>2494</v>
      </c>
      <c r="C86" s="64">
        <v>600080315</v>
      </c>
      <c r="D86" s="56">
        <v>72741996</v>
      </c>
      <c r="E86" s="56" t="s">
        <v>713</v>
      </c>
      <c r="F86" s="65">
        <v>3143</v>
      </c>
      <c r="G86" s="56" t="s">
        <v>794</v>
      </c>
      <c r="H86" s="66" t="s">
        <v>262</v>
      </c>
      <c r="I86" s="580">
        <v>1365105</v>
      </c>
      <c r="J86" s="14">
        <v>1012689</v>
      </c>
      <c r="K86" s="14">
        <v>0</v>
      </c>
      <c r="L86" s="14">
        <v>342289</v>
      </c>
      <c r="M86" s="14">
        <v>10127</v>
      </c>
      <c r="N86" s="14">
        <v>0</v>
      </c>
      <c r="O86" s="633">
        <v>2.0489999999999999</v>
      </c>
      <c r="P86" s="440">
        <f t="shared" si="83"/>
        <v>0</v>
      </c>
      <c r="Q86" s="325">
        <v>0</v>
      </c>
      <c r="R86" s="325">
        <v>0</v>
      </c>
      <c r="S86" s="325">
        <v>0</v>
      </c>
      <c r="T86" s="325">
        <v>0</v>
      </c>
      <c r="U86" s="325">
        <v>0</v>
      </c>
      <c r="V86" s="492">
        <f>P86+Q86+R86+S86+T86+U86</f>
        <v>0</v>
      </c>
      <c r="W86" s="325">
        <v>0</v>
      </c>
      <c r="X86" s="325">
        <v>0</v>
      </c>
      <c r="Y86" s="325">
        <v>0</v>
      </c>
      <c r="Z86" s="492">
        <f t="shared" si="119"/>
        <v>0</v>
      </c>
      <c r="AA86" s="492">
        <f t="shared" si="120"/>
        <v>0</v>
      </c>
      <c r="AB86" s="494">
        <f t="shared" si="121"/>
        <v>0</v>
      </c>
      <c r="AC86" s="55">
        <f>ROUND(V86*1%,0)</f>
        <v>0</v>
      </c>
      <c r="AD86" s="14">
        <v>0</v>
      </c>
      <c r="AE86" s="605">
        <f t="shared" si="113"/>
        <v>0</v>
      </c>
      <c r="AF86" s="688">
        <v>0</v>
      </c>
      <c r="AG86" s="326">
        <v>0</v>
      </c>
      <c r="AH86" s="326">
        <v>0</v>
      </c>
      <c r="AI86" s="326">
        <v>0</v>
      </c>
      <c r="AJ86" s="326">
        <v>0</v>
      </c>
      <c r="AK86" s="326">
        <v>0</v>
      </c>
      <c r="AL86" s="880">
        <f>SUM(AF86:AK86)</f>
        <v>0</v>
      </c>
      <c r="AM86" s="676">
        <f>I86+AE86</f>
        <v>1365105</v>
      </c>
      <c r="AN86" s="492">
        <f>J86+V86</f>
        <v>1012689</v>
      </c>
      <c r="AO86" s="492">
        <f t="shared" si="122"/>
        <v>0</v>
      </c>
      <c r="AP86" s="492">
        <f t="shared" si="123"/>
        <v>342289</v>
      </c>
      <c r="AQ86" s="492">
        <f t="shared" si="123"/>
        <v>10127</v>
      </c>
      <c r="AR86" s="492">
        <f t="shared" si="115"/>
        <v>0</v>
      </c>
      <c r="AS86" s="609">
        <f>O86+AL86</f>
        <v>2.0489999999999999</v>
      </c>
    </row>
    <row r="87" spans="1:45" s="67" customFormat="1" ht="14.1" customHeight="1" x14ac:dyDescent="0.2">
      <c r="A87" s="89">
        <v>16</v>
      </c>
      <c r="B87" s="68">
        <v>2494</v>
      </c>
      <c r="C87" s="69">
        <v>600080315</v>
      </c>
      <c r="D87" s="68">
        <v>72741996</v>
      </c>
      <c r="E87" s="68" t="s">
        <v>714</v>
      </c>
      <c r="F87" s="70"/>
      <c r="G87" s="71"/>
      <c r="H87" s="72"/>
      <c r="I87" s="581">
        <v>32191460</v>
      </c>
      <c r="J87" s="334">
        <v>23880905</v>
      </c>
      <c r="K87" s="334">
        <v>0</v>
      </c>
      <c r="L87" s="334">
        <v>8071746</v>
      </c>
      <c r="M87" s="334">
        <v>238809</v>
      </c>
      <c r="N87" s="334">
        <v>0</v>
      </c>
      <c r="O87" s="74">
        <v>40.334600000000002</v>
      </c>
      <c r="P87" s="692">
        <f t="shared" ref="P87:AS87" si="128">SUM(P82:P86)</f>
        <v>0</v>
      </c>
      <c r="Q87" s="334">
        <f t="shared" si="128"/>
        <v>275306</v>
      </c>
      <c r="R87" s="334">
        <f t="shared" si="128"/>
        <v>0</v>
      </c>
      <c r="S87" s="334">
        <f t="shared" si="128"/>
        <v>0</v>
      </c>
      <c r="T87" s="334">
        <f t="shared" si="128"/>
        <v>0</v>
      </c>
      <c r="U87" s="334">
        <f t="shared" si="128"/>
        <v>0</v>
      </c>
      <c r="V87" s="334">
        <f t="shared" si="128"/>
        <v>275306</v>
      </c>
      <c r="W87" s="334">
        <f t="shared" si="128"/>
        <v>0</v>
      </c>
      <c r="X87" s="334">
        <f t="shared" si="128"/>
        <v>0</v>
      </c>
      <c r="Y87" s="334">
        <f t="shared" si="128"/>
        <v>0</v>
      </c>
      <c r="Z87" s="334">
        <f t="shared" si="128"/>
        <v>0</v>
      </c>
      <c r="AA87" s="334">
        <f t="shared" si="128"/>
        <v>275306</v>
      </c>
      <c r="AB87" s="334">
        <f t="shared" si="128"/>
        <v>93053</v>
      </c>
      <c r="AC87" s="334">
        <f t="shared" si="128"/>
        <v>2753</v>
      </c>
      <c r="AD87" s="334">
        <f t="shared" si="128"/>
        <v>0</v>
      </c>
      <c r="AE87" s="685">
        <f t="shared" si="128"/>
        <v>371112</v>
      </c>
      <c r="AF87" s="689">
        <f t="shared" si="128"/>
        <v>0</v>
      </c>
      <c r="AG87" s="335">
        <f t="shared" si="128"/>
        <v>0.65</v>
      </c>
      <c r="AH87" s="335">
        <f t="shared" si="128"/>
        <v>0</v>
      </c>
      <c r="AI87" s="335">
        <f t="shared" si="128"/>
        <v>0</v>
      </c>
      <c r="AJ87" s="335">
        <f t="shared" si="128"/>
        <v>0</v>
      </c>
      <c r="AK87" s="335">
        <f t="shared" si="128"/>
        <v>0</v>
      </c>
      <c r="AL87" s="881">
        <f t="shared" si="128"/>
        <v>0.65</v>
      </c>
      <c r="AM87" s="581">
        <f t="shared" si="128"/>
        <v>32562572</v>
      </c>
      <c r="AN87" s="334">
        <f t="shared" si="128"/>
        <v>24156211</v>
      </c>
      <c r="AO87" s="334">
        <f t="shared" si="128"/>
        <v>0</v>
      </c>
      <c r="AP87" s="334">
        <f t="shared" si="128"/>
        <v>8164799</v>
      </c>
      <c r="AQ87" s="334">
        <f t="shared" si="128"/>
        <v>241562</v>
      </c>
      <c r="AR87" s="334">
        <f t="shared" si="128"/>
        <v>0</v>
      </c>
      <c r="AS87" s="74">
        <f t="shared" si="128"/>
        <v>40.9846</v>
      </c>
    </row>
    <row r="88" spans="1:45" s="67" customFormat="1" ht="14.1" customHeight="1" x14ac:dyDescent="0.2">
      <c r="A88" s="88">
        <v>17</v>
      </c>
      <c r="B88" s="56">
        <v>2301</v>
      </c>
      <c r="C88" s="64">
        <v>600080226</v>
      </c>
      <c r="D88" s="56">
        <v>72741830</v>
      </c>
      <c r="E88" s="56" t="s">
        <v>715</v>
      </c>
      <c r="F88" s="65">
        <v>3231</v>
      </c>
      <c r="G88" s="56" t="s">
        <v>281</v>
      </c>
      <c r="H88" s="66" t="s">
        <v>262</v>
      </c>
      <c r="I88" s="580">
        <v>5867902</v>
      </c>
      <c r="J88" s="696">
        <v>4353043</v>
      </c>
      <c r="K88" s="696">
        <v>0</v>
      </c>
      <c r="L88" s="14">
        <v>1471329</v>
      </c>
      <c r="M88" s="14">
        <v>43530</v>
      </c>
      <c r="N88" s="14">
        <v>0</v>
      </c>
      <c r="O88" s="614">
        <v>6.5387000000000004</v>
      </c>
      <c r="P88" s="440">
        <f t="shared" si="83"/>
        <v>0</v>
      </c>
      <c r="Q88" s="325">
        <v>0</v>
      </c>
      <c r="R88" s="325">
        <v>0</v>
      </c>
      <c r="S88" s="325">
        <v>0</v>
      </c>
      <c r="T88" s="325">
        <v>0</v>
      </c>
      <c r="U88" s="325">
        <v>0</v>
      </c>
      <c r="V88" s="492">
        <f>P88+Q88+R88+S88+T88+U88</f>
        <v>0</v>
      </c>
      <c r="W88" s="325">
        <v>0</v>
      </c>
      <c r="X88" s="325">
        <v>0</v>
      </c>
      <c r="Y88" s="325">
        <v>0</v>
      </c>
      <c r="Z88" s="492">
        <f>W88+X88+Y88</f>
        <v>0</v>
      </c>
      <c r="AA88" s="492">
        <f>V88+Z88</f>
        <v>0</v>
      </c>
      <c r="AB88" s="494">
        <f>ROUND((V88+Z88)*33.8%,0)</f>
        <v>0</v>
      </c>
      <c r="AC88" s="55">
        <f>ROUND(V88*1%,0)</f>
        <v>0</v>
      </c>
      <c r="AD88" s="14">
        <v>0</v>
      </c>
      <c r="AE88" s="605">
        <f t="shared" si="113"/>
        <v>0</v>
      </c>
      <c r="AF88" s="688">
        <v>0</v>
      </c>
      <c r="AG88" s="326">
        <v>0</v>
      </c>
      <c r="AH88" s="326">
        <v>0</v>
      </c>
      <c r="AI88" s="326">
        <v>0</v>
      </c>
      <c r="AJ88" s="326">
        <v>0</v>
      </c>
      <c r="AK88" s="326">
        <v>0</v>
      </c>
      <c r="AL88" s="880">
        <f>SUM(AF88:AK88)</f>
        <v>0</v>
      </c>
      <c r="AM88" s="676">
        <f>I88+AE88</f>
        <v>5867902</v>
      </c>
      <c r="AN88" s="492">
        <f>J88+V88</f>
        <v>4353043</v>
      </c>
      <c r="AO88" s="492">
        <f>K88+Z88</f>
        <v>0</v>
      </c>
      <c r="AP88" s="492">
        <f>L88+AB88</f>
        <v>1471329</v>
      </c>
      <c r="AQ88" s="492">
        <f>M88+AC88</f>
        <v>43530</v>
      </c>
      <c r="AR88" s="492">
        <f t="shared" si="115"/>
        <v>0</v>
      </c>
      <c r="AS88" s="609">
        <f>O88+AL88</f>
        <v>6.5387000000000004</v>
      </c>
    </row>
    <row r="89" spans="1:45" s="67" customFormat="1" ht="14.1" customHeight="1" x14ac:dyDescent="0.2">
      <c r="A89" s="89">
        <v>17</v>
      </c>
      <c r="B89" s="68">
        <v>2301</v>
      </c>
      <c r="C89" s="69">
        <v>600080226</v>
      </c>
      <c r="D89" s="68">
        <v>72741830</v>
      </c>
      <c r="E89" s="68" t="s">
        <v>716</v>
      </c>
      <c r="F89" s="70"/>
      <c r="G89" s="71"/>
      <c r="H89" s="72"/>
      <c r="I89" s="582">
        <v>5867902</v>
      </c>
      <c r="J89" s="336">
        <v>4353043</v>
      </c>
      <c r="K89" s="336">
        <v>0</v>
      </c>
      <c r="L89" s="336">
        <v>1471329</v>
      </c>
      <c r="M89" s="336">
        <v>43530</v>
      </c>
      <c r="N89" s="336">
        <v>0</v>
      </c>
      <c r="O89" s="78">
        <v>6.5387000000000004</v>
      </c>
      <c r="P89" s="693">
        <f t="shared" ref="P89:AS89" si="129">SUM(P88)</f>
        <v>0</v>
      </c>
      <c r="Q89" s="336">
        <f t="shared" si="129"/>
        <v>0</v>
      </c>
      <c r="R89" s="336">
        <f t="shared" si="129"/>
        <v>0</v>
      </c>
      <c r="S89" s="336">
        <f t="shared" si="129"/>
        <v>0</v>
      </c>
      <c r="T89" s="336">
        <f t="shared" si="129"/>
        <v>0</v>
      </c>
      <c r="U89" s="336">
        <f t="shared" si="129"/>
        <v>0</v>
      </c>
      <c r="V89" s="336">
        <f t="shared" si="129"/>
        <v>0</v>
      </c>
      <c r="W89" s="336">
        <f t="shared" si="129"/>
        <v>0</v>
      </c>
      <c r="X89" s="336">
        <f t="shared" si="129"/>
        <v>0</v>
      </c>
      <c r="Y89" s="336">
        <f t="shared" si="129"/>
        <v>0</v>
      </c>
      <c r="Z89" s="336">
        <f t="shared" si="129"/>
        <v>0</v>
      </c>
      <c r="AA89" s="336">
        <f t="shared" si="129"/>
        <v>0</v>
      </c>
      <c r="AB89" s="336">
        <f t="shared" si="129"/>
        <v>0</v>
      </c>
      <c r="AC89" s="336">
        <f t="shared" si="129"/>
        <v>0</v>
      </c>
      <c r="AD89" s="336">
        <f t="shared" si="129"/>
        <v>0</v>
      </c>
      <c r="AE89" s="686">
        <f t="shared" si="129"/>
        <v>0</v>
      </c>
      <c r="AF89" s="690">
        <f t="shared" si="129"/>
        <v>0</v>
      </c>
      <c r="AG89" s="337">
        <f t="shared" si="129"/>
        <v>0</v>
      </c>
      <c r="AH89" s="337">
        <f t="shared" si="129"/>
        <v>0</v>
      </c>
      <c r="AI89" s="337">
        <f t="shared" si="129"/>
        <v>0</v>
      </c>
      <c r="AJ89" s="337">
        <f t="shared" si="129"/>
        <v>0</v>
      </c>
      <c r="AK89" s="337">
        <f t="shared" si="129"/>
        <v>0</v>
      </c>
      <c r="AL89" s="882">
        <f t="shared" si="129"/>
        <v>0</v>
      </c>
      <c r="AM89" s="582">
        <f t="shared" si="129"/>
        <v>5867902</v>
      </c>
      <c r="AN89" s="336">
        <f t="shared" si="129"/>
        <v>4353043</v>
      </c>
      <c r="AO89" s="336">
        <f t="shared" si="129"/>
        <v>0</v>
      </c>
      <c r="AP89" s="336">
        <f t="shared" si="129"/>
        <v>1471329</v>
      </c>
      <c r="AQ89" s="336">
        <f t="shared" si="129"/>
        <v>43530</v>
      </c>
      <c r="AR89" s="336">
        <f t="shared" si="129"/>
        <v>0</v>
      </c>
      <c r="AS89" s="78">
        <f t="shared" si="129"/>
        <v>6.5387000000000004</v>
      </c>
    </row>
    <row r="90" spans="1:45" s="67" customFormat="1" ht="14.1" customHeight="1" x14ac:dyDescent="0.2">
      <c r="A90" s="88">
        <v>18</v>
      </c>
      <c r="B90" s="73">
        <v>2497</v>
      </c>
      <c r="C90" s="64">
        <v>600080064</v>
      </c>
      <c r="D90" s="56">
        <v>72744189</v>
      </c>
      <c r="E90" s="56" t="s">
        <v>717</v>
      </c>
      <c r="F90" s="65">
        <v>3111</v>
      </c>
      <c r="G90" s="56" t="s">
        <v>277</v>
      </c>
      <c r="H90" s="66" t="s">
        <v>262</v>
      </c>
      <c r="I90" s="580">
        <v>6486800</v>
      </c>
      <c r="J90" s="14">
        <v>4752611</v>
      </c>
      <c r="K90" s="14">
        <v>60000</v>
      </c>
      <c r="L90" s="14">
        <v>1626663</v>
      </c>
      <c r="M90" s="14">
        <v>47526</v>
      </c>
      <c r="N90" s="14">
        <v>0</v>
      </c>
      <c r="O90" s="633">
        <v>7.92</v>
      </c>
      <c r="P90" s="440">
        <f t="shared" si="83"/>
        <v>-40000</v>
      </c>
      <c r="Q90" s="325">
        <v>0</v>
      </c>
      <c r="R90" s="325">
        <v>0</v>
      </c>
      <c r="S90" s="325">
        <v>0</v>
      </c>
      <c r="T90" s="325">
        <v>0</v>
      </c>
      <c r="U90" s="325">
        <v>0</v>
      </c>
      <c r="V90" s="492">
        <f t="shared" ref="V90:V96" si="130">P90+Q90+R90+S90+T90+U90</f>
        <v>-40000</v>
      </c>
      <c r="W90" s="325">
        <v>40000</v>
      </c>
      <c r="X90" s="325">
        <v>0</v>
      </c>
      <c r="Y90" s="325">
        <v>0</v>
      </c>
      <c r="Z90" s="492">
        <f t="shared" ref="Z90:Z96" si="131">W90+X90+Y90</f>
        <v>40000</v>
      </c>
      <c r="AA90" s="492">
        <f t="shared" ref="AA90:AA96" si="132">V90+Z90</f>
        <v>0</v>
      </c>
      <c r="AB90" s="494">
        <f t="shared" ref="AB90:AB96" si="133">ROUND((V90+Z90)*33.8%,0)</f>
        <v>0</v>
      </c>
      <c r="AC90" s="55">
        <f t="shared" ref="AC90:AC96" si="134">ROUND(V90*1%,0)</f>
        <v>-400</v>
      </c>
      <c r="AD90" s="14">
        <v>0</v>
      </c>
      <c r="AE90" s="605">
        <f t="shared" si="113"/>
        <v>-400</v>
      </c>
      <c r="AF90" s="688">
        <v>-0.05</v>
      </c>
      <c r="AG90" s="326">
        <v>0</v>
      </c>
      <c r="AH90" s="326">
        <v>0</v>
      </c>
      <c r="AI90" s="326">
        <v>0</v>
      </c>
      <c r="AJ90" s="326">
        <v>0</v>
      </c>
      <c r="AK90" s="326">
        <v>0</v>
      </c>
      <c r="AL90" s="880">
        <f t="shared" ref="AL90:AL96" si="135">SUM(AF90:AK90)</f>
        <v>-0.05</v>
      </c>
      <c r="AM90" s="676">
        <f t="shared" ref="AM90:AM96" si="136">I90+AE90</f>
        <v>6486400</v>
      </c>
      <c r="AN90" s="492">
        <f t="shared" ref="AN90:AN96" si="137">J90+V90</f>
        <v>4712611</v>
      </c>
      <c r="AO90" s="492">
        <f t="shared" ref="AO90:AO96" si="138">K90+Z90</f>
        <v>100000</v>
      </c>
      <c r="AP90" s="492">
        <f t="shared" ref="AP90:AQ96" si="139">L90+AB90</f>
        <v>1626663</v>
      </c>
      <c r="AQ90" s="492">
        <f t="shared" si="139"/>
        <v>47126</v>
      </c>
      <c r="AR90" s="492">
        <f t="shared" si="115"/>
        <v>0</v>
      </c>
      <c r="AS90" s="609">
        <f t="shared" ref="AS90:AS96" si="140">O90+AL90</f>
        <v>7.87</v>
      </c>
    </row>
    <row r="91" spans="1:45" s="67" customFormat="1" ht="14.1" customHeight="1" x14ac:dyDescent="0.2">
      <c r="A91" s="88">
        <v>18</v>
      </c>
      <c r="B91" s="56">
        <v>2497</v>
      </c>
      <c r="C91" s="64">
        <v>600080064</v>
      </c>
      <c r="D91" s="56">
        <v>72744189</v>
      </c>
      <c r="E91" s="56" t="s">
        <v>717</v>
      </c>
      <c r="F91" s="65">
        <v>3113</v>
      </c>
      <c r="G91" s="56" t="s">
        <v>280</v>
      </c>
      <c r="H91" s="66" t="s">
        <v>262</v>
      </c>
      <c r="I91" s="580">
        <v>19796064</v>
      </c>
      <c r="J91" s="14">
        <v>14619997</v>
      </c>
      <c r="K91" s="14">
        <v>66000</v>
      </c>
      <c r="L91" s="14">
        <v>4963866</v>
      </c>
      <c r="M91" s="14">
        <v>146201</v>
      </c>
      <c r="N91" s="14">
        <v>0</v>
      </c>
      <c r="O91" s="633">
        <v>20.6462</v>
      </c>
      <c r="P91" s="440">
        <f t="shared" si="83"/>
        <v>-44000</v>
      </c>
      <c r="Q91" s="325">
        <v>0</v>
      </c>
      <c r="R91" s="325">
        <v>0</v>
      </c>
      <c r="S91" s="325">
        <v>0</v>
      </c>
      <c r="T91" s="325">
        <v>0</v>
      </c>
      <c r="U91" s="325">
        <v>0</v>
      </c>
      <c r="V91" s="492">
        <f t="shared" si="130"/>
        <v>-44000</v>
      </c>
      <c r="W91" s="325">
        <v>44000</v>
      </c>
      <c r="X91" s="325">
        <v>0</v>
      </c>
      <c r="Y91" s="325">
        <v>0</v>
      </c>
      <c r="Z91" s="492">
        <f t="shared" si="131"/>
        <v>44000</v>
      </c>
      <c r="AA91" s="492">
        <f t="shared" si="132"/>
        <v>0</v>
      </c>
      <c r="AB91" s="494">
        <f t="shared" si="133"/>
        <v>0</v>
      </c>
      <c r="AC91" s="55">
        <f t="shared" si="134"/>
        <v>-440</v>
      </c>
      <c r="AD91" s="14">
        <v>0</v>
      </c>
      <c r="AE91" s="605">
        <f t="shared" si="113"/>
        <v>-440</v>
      </c>
      <c r="AF91" s="688">
        <v>0</v>
      </c>
      <c r="AG91" s="326">
        <v>0</v>
      </c>
      <c r="AH91" s="326">
        <v>0</v>
      </c>
      <c r="AI91" s="326">
        <v>0</v>
      </c>
      <c r="AJ91" s="326">
        <v>0</v>
      </c>
      <c r="AK91" s="326">
        <v>0</v>
      </c>
      <c r="AL91" s="880">
        <f t="shared" si="135"/>
        <v>0</v>
      </c>
      <c r="AM91" s="676">
        <f t="shared" si="136"/>
        <v>19795624</v>
      </c>
      <c r="AN91" s="492">
        <f t="shared" si="137"/>
        <v>14575997</v>
      </c>
      <c r="AO91" s="492">
        <f t="shared" si="138"/>
        <v>110000</v>
      </c>
      <c r="AP91" s="492">
        <f t="shared" si="139"/>
        <v>4963866</v>
      </c>
      <c r="AQ91" s="492">
        <f t="shared" si="139"/>
        <v>145761</v>
      </c>
      <c r="AR91" s="492">
        <f t="shared" si="115"/>
        <v>0</v>
      </c>
      <c r="AS91" s="609">
        <f t="shared" si="140"/>
        <v>20.6462</v>
      </c>
    </row>
    <row r="92" spans="1:45" s="67" customFormat="1" ht="14.1" customHeight="1" x14ac:dyDescent="0.2">
      <c r="A92" s="88">
        <v>18</v>
      </c>
      <c r="B92" s="56">
        <v>2497</v>
      </c>
      <c r="C92" s="64">
        <v>600080064</v>
      </c>
      <c r="D92" s="56">
        <v>72744189</v>
      </c>
      <c r="E92" s="56" t="s">
        <v>717</v>
      </c>
      <c r="F92" s="65">
        <v>3113</v>
      </c>
      <c r="G92" s="39" t="s">
        <v>279</v>
      </c>
      <c r="H92" s="66" t="s">
        <v>262</v>
      </c>
      <c r="I92" s="580">
        <v>2685472</v>
      </c>
      <c r="J92" s="14">
        <v>1992190</v>
      </c>
      <c r="K92" s="14">
        <v>0</v>
      </c>
      <c r="L92" s="14">
        <v>673360</v>
      </c>
      <c r="M92" s="14">
        <v>19922</v>
      </c>
      <c r="N92" s="14">
        <v>0</v>
      </c>
      <c r="O92" s="633">
        <v>4.3693999999999997</v>
      </c>
      <c r="P92" s="440">
        <f t="shared" si="83"/>
        <v>0</v>
      </c>
      <c r="Q92" s="325">
        <v>0</v>
      </c>
      <c r="R92" s="325">
        <v>0</v>
      </c>
      <c r="S92" s="325">
        <v>0</v>
      </c>
      <c r="T92" s="325">
        <v>0</v>
      </c>
      <c r="U92" s="325">
        <v>0</v>
      </c>
      <c r="V92" s="492">
        <f t="shared" si="130"/>
        <v>0</v>
      </c>
      <c r="W92" s="325">
        <v>0</v>
      </c>
      <c r="X92" s="325">
        <v>0</v>
      </c>
      <c r="Y92" s="325">
        <v>0</v>
      </c>
      <c r="Z92" s="492">
        <f t="shared" si="131"/>
        <v>0</v>
      </c>
      <c r="AA92" s="492">
        <f t="shared" si="132"/>
        <v>0</v>
      </c>
      <c r="AB92" s="494">
        <f t="shared" si="133"/>
        <v>0</v>
      </c>
      <c r="AC92" s="55">
        <f t="shared" si="134"/>
        <v>0</v>
      </c>
      <c r="AD92" s="14">
        <v>0</v>
      </c>
      <c r="AE92" s="605">
        <f t="shared" si="113"/>
        <v>0</v>
      </c>
      <c r="AF92" s="688">
        <v>0</v>
      </c>
      <c r="AG92" s="326">
        <v>0</v>
      </c>
      <c r="AH92" s="326">
        <v>0</v>
      </c>
      <c r="AI92" s="326">
        <v>0</v>
      </c>
      <c r="AJ92" s="326">
        <v>0</v>
      </c>
      <c r="AK92" s="326">
        <v>0</v>
      </c>
      <c r="AL92" s="880">
        <f t="shared" si="135"/>
        <v>0</v>
      </c>
      <c r="AM92" s="676">
        <f t="shared" si="136"/>
        <v>2685472</v>
      </c>
      <c r="AN92" s="492">
        <f t="shared" si="137"/>
        <v>1992190</v>
      </c>
      <c r="AO92" s="492">
        <f t="shared" si="138"/>
        <v>0</v>
      </c>
      <c r="AP92" s="492">
        <f t="shared" si="139"/>
        <v>673360</v>
      </c>
      <c r="AQ92" s="492">
        <f t="shared" si="139"/>
        <v>19922</v>
      </c>
      <c r="AR92" s="492">
        <f t="shared" si="115"/>
        <v>0</v>
      </c>
      <c r="AS92" s="609">
        <f t="shared" si="140"/>
        <v>4.3693999999999997</v>
      </c>
    </row>
    <row r="93" spans="1:45" s="67" customFormat="1" ht="14.1" customHeight="1" x14ac:dyDescent="0.2">
      <c r="A93" s="88">
        <v>18</v>
      </c>
      <c r="B93" s="56">
        <v>2497</v>
      </c>
      <c r="C93" s="64">
        <v>600080064</v>
      </c>
      <c r="D93" s="56">
        <v>72744189</v>
      </c>
      <c r="E93" s="56" t="s">
        <v>717</v>
      </c>
      <c r="F93" s="65">
        <v>3113</v>
      </c>
      <c r="G93" s="56" t="s">
        <v>799</v>
      </c>
      <c r="H93" s="66" t="s">
        <v>262</v>
      </c>
      <c r="I93" s="580">
        <v>410377</v>
      </c>
      <c r="J93" s="14">
        <v>304434</v>
      </c>
      <c r="K93" s="14">
        <v>0</v>
      </c>
      <c r="L93" s="14">
        <v>102899</v>
      </c>
      <c r="M93" s="14">
        <v>3044</v>
      </c>
      <c r="N93" s="14">
        <v>0</v>
      </c>
      <c r="O93" s="633">
        <v>0.5</v>
      </c>
      <c r="P93" s="440">
        <f t="shared" ref="P93" si="141">W93*-1</f>
        <v>0</v>
      </c>
      <c r="Q93" s="325">
        <v>0</v>
      </c>
      <c r="R93" s="325">
        <v>0</v>
      </c>
      <c r="S93" s="325">
        <v>0</v>
      </c>
      <c r="T93" s="325">
        <v>0</v>
      </c>
      <c r="U93" s="325">
        <v>0</v>
      </c>
      <c r="V93" s="492">
        <f t="shared" ref="V93" si="142">P93+Q93+R93+S93+T93+U93</f>
        <v>0</v>
      </c>
      <c r="W93" s="325">
        <v>0</v>
      </c>
      <c r="X93" s="325">
        <v>0</v>
      </c>
      <c r="Y93" s="325">
        <v>0</v>
      </c>
      <c r="Z93" s="492">
        <f t="shared" ref="Z93" si="143">W93+X93+Y93</f>
        <v>0</v>
      </c>
      <c r="AA93" s="492">
        <f t="shared" ref="AA93" si="144">V93+Z93</f>
        <v>0</v>
      </c>
      <c r="AB93" s="494">
        <f t="shared" ref="AB93" si="145">ROUND((V93+Z93)*33.8%,0)</f>
        <v>0</v>
      </c>
      <c r="AC93" s="55">
        <f t="shared" ref="AC93" si="146">ROUND(V93*1%,0)</f>
        <v>0</v>
      </c>
      <c r="AD93" s="14">
        <v>0</v>
      </c>
      <c r="AE93" s="605">
        <f t="shared" si="113"/>
        <v>0</v>
      </c>
      <c r="AF93" s="688">
        <v>0</v>
      </c>
      <c r="AG93" s="326">
        <v>0</v>
      </c>
      <c r="AH93" s="326">
        <v>0</v>
      </c>
      <c r="AI93" s="326">
        <v>0</v>
      </c>
      <c r="AJ93" s="326">
        <v>0</v>
      </c>
      <c r="AK93" s="326">
        <v>0</v>
      </c>
      <c r="AL93" s="880">
        <f t="shared" ref="AL93" si="147">SUM(AF93:AK93)</f>
        <v>0</v>
      </c>
      <c r="AM93" s="676">
        <f t="shared" si="136"/>
        <v>410377</v>
      </c>
      <c r="AN93" s="492">
        <f t="shared" si="137"/>
        <v>304434</v>
      </c>
      <c r="AO93" s="492">
        <f t="shared" si="138"/>
        <v>0</v>
      </c>
      <c r="AP93" s="492">
        <f t="shared" si="139"/>
        <v>102899</v>
      </c>
      <c r="AQ93" s="492">
        <f t="shared" si="139"/>
        <v>3044</v>
      </c>
      <c r="AR93" s="492">
        <f t="shared" si="115"/>
        <v>0</v>
      </c>
      <c r="AS93" s="609">
        <f t="shared" si="140"/>
        <v>0.5</v>
      </c>
    </row>
    <row r="94" spans="1:45" s="67" customFormat="1" ht="14.1" customHeight="1" x14ac:dyDescent="0.2">
      <c r="A94" s="88">
        <v>18</v>
      </c>
      <c r="B94" s="73">
        <v>2497</v>
      </c>
      <c r="C94" s="64">
        <v>600080064</v>
      </c>
      <c r="D94" s="56">
        <v>72744189</v>
      </c>
      <c r="E94" s="73" t="s">
        <v>717</v>
      </c>
      <c r="F94" s="65">
        <v>3113</v>
      </c>
      <c r="G94" s="56" t="s">
        <v>278</v>
      </c>
      <c r="H94" s="66" t="s">
        <v>263</v>
      </c>
      <c r="I94" s="580">
        <v>6061078</v>
      </c>
      <c r="J94" s="423">
        <v>4478482</v>
      </c>
      <c r="K94" s="423">
        <v>18000</v>
      </c>
      <c r="L94" s="14">
        <v>1519811</v>
      </c>
      <c r="M94" s="14">
        <v>44785</v>
      </c>
      <c r="N94" s="14">
        <v>0</v>
      </c>
      <c r="O94" s="698">
        <v>11.280000000000001</v>
      </c>
      <c r="P94" s="440">
        <f t="shared" si="83"/>
        <v>-12000</v>
      </c>
      <c r="Q94" s="325">
        <f>22075+33067</f>
        <v>55142</v>
      </c>
      <c r="R94" s="325">
        <v>0</v>
      </c>
      <c r="S94" s="325">
        <v>0</v>
      </c>
      <c r="T94" s="325">
        <v>0</v>
      </c>
      <c r="U94" s="325">
        <v>0</v>
      </c>
      <c r="V94" s="492">
        <f t="shared" si="130"/>
        <v>43142</v>
      </c>
      <c r="W94" s="325">
        <v>12000</v>
      </c>
      <c r="X94" s="325">
        <v>0</v>
      </c>
      <c r="Y94" s="325">
        <v>0</v>
      </c>
      <c r="Z94" s="492">
        <f t="shared" si="131"/>
        <v>12000</v>
      </c>
      <c r="AA94" s="492">
        <f t="shared" si="132"/>
        <v>55142</v>
      </c>
      <c r="AB94" s="494">
        <f t="shared" si="133"/>
        <v>18638</v>
      </c>
      <c r="AC94" s="55">
        <f t="shared" si="134"/>
        <v>431</v>
      </c>
      <c r="AD94" s="14">
        <v>0</v>
      </c>
      <c r="AE94" s="605">
        <f t="shared" si="113"/>
        <v>74211</v>
      </c>
      <c r="AF94" s="688">
        <v>0</v>
      </c>
      <c r="AG94" s="326">
        <f>0.04+0.08</f>
        <v>0.12</v>
      </c>
      <c r="AH94" s="326">
        <v>0</v>
      </c>
      <c r="AI94" s="326">
        <v>0</v>
      </c>
      <c r="AJ94" s="326">
        <v>0</v>
      </c>
      <c r="AK94" s="326">
        <v>0</v>
      </c>
      <c r="AL94" s="880">
        <f t="shared" si="135"/>
        <v>0.12</v>
      </c>
      <c r="AM94" s="676">
        <f t="shared" si="136"/>
        <v>6135289</v>
      </c>
      <c r="AN94" s="492">
        <f t="shared" si="137"/>
        <v>4521624</v>
      </c>
      <c r="AO94" s="492">
        <f t="shared" si="138"/>
        <v>30000</v>
      </c>
      <c r="AP94" s="492">
        <f t="shared" si="139"/>
        <v>1538449</v>
      </c>
      <c r="AQ94" s="492">
        <f t="shared" si="139"/>
        <v>45216</v>
      </c>
      <c r="AR94" s="492">
        <f t="shared" si="115"/>
        <v>0</v>
      </c>
      <c r="AS94" s="609">
        <f t="shared" si="140"/>
        <v>11.4</v>
      </c>
    </row>
    <row r="95" spans="1:45" s="67" customFormat="1" ht="14.1" customHeight="1" x14ac:dyDescent="0.2">
      <c r="A95" s="88">
        <v>18</v>
      </c>
      <c r="B95" s="56">
        <v>2497</v>
      </c>
      <c r="C95" s="64">
        <v>600080064</v>
      </c>
      <c r="D95" s="56">
        <v>72744189</v>
      </c>
      <c r="E95" s="56" t="s">
        <v>717</v>
      </c>
      <c r="F95" s="65">
        <v>3143</v>
      </c>
      <c r="G95" s="56" t="s">
        <v>794</v>
      </c>
      <c r="H95" s="66" t="s">
        <v>262</v>
      </c>
      <c r="I95" s="580">
        <v>1091731</v>
      </c>
      <c r="J95" s="14">
        <v>792023</v>
      </c>
      <c r="K95" s="14">
        <v>18000</v>
      </c>
      <c r="L95" s="14">
        <v>273788</v>
      </c>
      <c r="M95" s="14">
        <v>7920</v>
      </c>
      <c r="N95" s="14">
        <v>0</v>
      </c>
      <c r="O95" s="633">
        <v>1.76</v>
      </c>
      <c r="P95" s="440">
        <f t="shared" si="83"/>
        <v>-12000</v>
      </c>
      <c r="Q95" s="325">
        <v>0</v>
      </c>
      <c r="R95" s="325">
        <v>0</v>
      </c>
      <c r="S95" s="325">
        <v>0</v>
      </c>
      <c r="T95" s="325">
        <v>0</v>
      </c>
      <c r="U95" s="325">
        <v>0</v>
      </c>
      <c r="V95" s="492">
        <f t="shared" si="130"/>
        <v>-12000</v>
      </c>
      <c r="W95" s="325">
        <v>12000</v>
      </c>
      <c r="X95" s="325">
        <v>0</v>
      </c>
      <c r="Y95" s="325">
        <v>0</v>
      </c>
      <c r="Z95" s="492">
        <f t="shared" si="131"/>
        <v>12000</v>
      </c>
      <c r="AA95" s="492">
        <f t="shared" si="132"/>
        <v>0</v>
      </c>
      <c r="AB95" s="494">
        <f t="shared" si="133"/>
        <v>0</v>
      </c>
      <c r="AC95" s="55">
        <f t="shared" si="134"/>
        <v>-120</v>
      </c>
      <c r="AD95" s="14">
        <v>0</v>
      </c>
      <c r="AE95" s="605">
        <f t="shared" si="113"/>
        <v>-120</v>
      </c>
      <c r="AF95" s="688">
        <v>0</v>
      </c>
      <c r="AG95" s="326">
        <v>0</v>
      </c>
      <c r="AH95" s="326">
        <v>0</v>
      </c>
      <c r="AI95" s="326">
        <v>0</v>
      </c>
      <c r="AJ95" s="326">
        <v>0</v>
      </c>
      <c r="AK95" s="326">
        <v>0</v>
      </c>
      <c r="AL95" s="880">
        <f t="shared" si="135"/>
        <v>0</v>
      </c>
      <c r="AM95" s="676">
        <f t="shared" si="136"/>
        <v>1091611</v>
      </c>
      <c r="AN95" s="492">
        <f t="shared" si="137"/>
        <v>780023</v>
      </c>
      <c r="AO95" s="492">
        <f t="shared" si="138"/>
        <v>30000</v>
      </c>
      <c r="AP95" s="492">
        <f t="shared" si="139"/>
        <v>273788</v>
      </c>
      <c r="AQ95" s="492">
        <f t="shared" si="139"/>
        <v>7800</v>
      </c>
      <c r="AR95" s="492">
        <f t="shared" si="115"/>
        <v>0</v>
      </c>
      <c r="AS95" s="609">
        <f t="shared" si="140"/>
        <v>1.76</v>
      </c>
    </row>
    <row r="96" spans="1:45" s="67" customFormat="1" ht="14.1" customHeight="1" x14ac:dyDescent="0.2">
      <c r="A96" s="88">
        <v>18</v>
      </c>
      <c r="B96" s="56">
        <v>2497</v>
      </c>
      <c r="C96" s="64">
        <v>600080064</v>
      </c>
      <c r="D96" s="56">
        <v>72744189</v>
      </c>
      <c r="E96" s="56" t="s">
        <v>717</v>
      </c>
      <c r="F96" s="65">
        <v>3143</v>
      </c>
      <c r="G96" s="56" t="s">
        <v>282</v>
      </c>
      <c r="H96" s="66" t="s">
        <v>263</v>
      </c>
      <c r="I96" s="580">
        <v>375103</v>
      </c>
      <c r="J96" s="423">
        <v>272311</v>
      </c>
      <c r="K96" s="423">
        <v>6000</v>
      </c>
      <c r="L96" s="14">
        <v>94069</v>
      </c>
      <c r="M96" s="14">
        <v>2723</v>
      </c>
      <c r="N96" s="14">
        <v>0</v>
      </c>
      <c r="O96" s="698">
        <v>0.52</v>
      </c>
      <c r="P96" s="440">
        <f t="shared" si="83"/>
        <v>-4000</v>
      </c>
      <c r="Q96" s="325">
        <v>0</v>
      </c>
      <c r="R96" s="325">
        <v>0</v>
      </c>
      <c r="S96" s="325">
        <v>0</v>
      </c>
      <c r="T96" s="325">
        <v>0</v>
      </c>
      <c r="U96" s="325">
        <v>0</v>
      </c>
      <c r="V96" s="492">
        <f t="shared" si="130"/>
        <v>-4000</v>
      </c>
      <c r="W96" s="325">
        <v>4000</v>
      </c>
      <c r="X96" s="325">
        <v>0</v>
      </c>
      <c r="Y96" s="325">
        <v>0</v>
      </c>
      <c r="Z96" s="492">
        <f t="shared" si="131"/>
        <v>4000</v>
      </c>
      <c r="AA96" s="492">
        <f t="shared" si="132"/>
        <v>0</v>
      </c>
      <c r="AB96" s="494">
        <f t="shared" si="133"/>
        <v>0</v>
      </c>
      <c r="AC96" s="55">
        <f t="shared" si="134"/>
        <v>-40</v>
      </c>
      <c r="AD96" s="14">
        <v>0</v>
      </c>
      <c r="AE96" s="605">
        <f t="shared" si="113"/>
        <v>-40</v>
      </c>
      <c r="AF96" s="688">
        <v>0</v>
      </c>
      <c r="AG96" s="326">
        <v>0</v>
      </c>
      <c r="AH96" s="326">
        <v>0</v>
      </c>
      <c r="AI96" s="326">
        <v>0</v>
      </c>
      <c r="AJ96" s="326">
        <v>0</v>
      </c>
      <c r="AK96" s="326">
        <v>0</v>
      </c>
      <c r="AL96" s="880">
        <f t="shared" si="135"/>
        <v>0</v>
      </c>
      <c r="AM96" s="676">
        <f t="shared" si="136"/>
        <v>375063</v>
      </c>
      <c r="AN96" s="492">
        <f t="shared" si="137"/>
        <v>268311</v>
      </c>
      <c r="AO96" s="492">
        <f t="shared" si="138"/>
        <v>10000</v>
      </c>
      <c r="AP96" s="492">
        <f t="shared" si="139"/>
        <v>94069</v>
      </c>
      <c r="AQ96" s="492">
        <f t="shared" si="139"/>
        <v>2683</v>
      </c>
      <c r="AR96" s="492">
        <f t="shared" si="115"/>
        <v>0</v>
      </c>
      <c r="AS96" s="609">
        <f t="shared" si="140"/>
        <v>0.52</v>
      </c>
    </row>
    <row r="97" spans="1:45" s="67" customFormat="1" ht="14.1" customHeight="1" x14ac:dyDescent="0.2">
      <c r="A97" s="89">
        <v>18</v>
      </c>
      <c r="B97" s="68">
        <v>2497</v>
      </c>
      <c r="C97" s="69">
        <v>600080064</v>
      </c>
      <c r="D97" s="68">
        <v>72744189</v>
      </c>
      <c r="E97" s="68" t="s">
        <v>718</v>
      </c>
      <c r="F97" s="70"/>
      <c r="G97" s="71"/>
      <c r="H97" s="72"/>
      <c r="I97" s="581">
        <v>36906625</v>
      </c>
      <c r="J97" s="334">
        <v>27212048</v>
      </c>
      <c r="K97" s="334">
        <v>168000</v>
      </c>
      <c r="L97" s="334">
        <v>9254456</v>
      </c>
      <c r="M97" s="334">
        <v>272121</v>
      </c>
      <c r="N97" s="334">
        <v>0</v>
      </c>
      <c r="O97" s="74">
        <v>46.995600000000003</v>
      </c>
      <c r="P97" s="692">
        <f t="shared" ref="P97:Z97" si="148">SUM(P90:P96)</f>
        <v>-112000</v>
      </c>
      <c r="Q97" s="334">
        <f t="shared" si="148"/>
        <v>55142</v>
      </c>
      <c r="R97" s="334">
        <f t="shared" si="148"/>
        <v>0</v>
      </c>
      <c r="S97" s="334">
        <f t="shared" si="148"/>
        <v>0</v>
      </c>
      <c r="T97" s="334">
        <f t="shared" si="148"/>
        <v>0</v>
      </c>
      <c r="U97" s="334">
        <f t="shared" si="148"/>
        <v>0</v>
      </c>
      <c r="V97" s="334">
        <f t="shared" si="148"/>
        <v>-56858</v>
      </c>
      <c r="W97" s="334">
        <f t="shared" si="148"/>
        <v>112000</v>
      </c>
      <c r="X97" s="334">
        <f t="shared" si="148"/>
        <v>0</v>
      </c>
      <c r="Y97" s="334">
        <f t="shared" si="148"/>
        <v>0</v>
      </c>
      <c r="Z97" s="334">
        <f t="shared" si="148"/>
        <v>112000</v>
      </c>
      <c r="AA97" s="334">
        <f t="shared" ref="AA97:AS97" si="149">SUM(AA90:AA96)</f>
        <v>55142</v>
      </c>
      <c r="AB97" s="334">
        <f t="shared" si="149"/>
        <v>18638</v>
      </c>
      <c r="AC97" s="334">
        <f t="shared" si="149"/>
        <v>-569</v>
      </c>
      <c r="AD97" s="334">
        <f t="shared" si="149"/>
        <v>0</v>
      </c>
      <c r="AE97" s="685">
        <f t="shared" si="149"/>
        <v>73211</v>
      </c>
      <c r="AF97" s="689">
        <f t="shared" si="149"/>
        <v>-0.05</v>
      </c>
      <c r="AG97" s="335">
        <f t="shared" si="149"/>
        <v>0.12</v>
      </c>
      <c r="AH97" s="335">
        <f t="shared" si="149"/>
        <v>0</v>
      </c>
      <c r="AI97" s="335">
        <f t="shared" si="149"/>
        <v>0</v>
      </c>
      <c r="AJ97" s="335">
        <f t="shared" si="149"/>
        <v>0</v>
      </c>
      <c r="AK97" s="335">
        <f t="shared" si="149"/>
        <v>0</v>
      </c>
      <c r="AL97" s="881">
        <f t="shared" si="149"/>
        <v>6.9999999999999993E-2</v>
      </c>
      <c r="AM97" s="581">
        <f t="shared" si="149"/>
        <v>36979836</v>
      </c>
      <c r="AN97" s="334">
        <f t="shared" si="149"/>
        <v>27155190</v>
      </c>
      <c r="AO97" s="334">
        <f t="shared" si="149"/>
        <v>280000</v>
      </c>
      <c r="AP97" s="334">
        <f t="shared" si="149"/>
        <v>9273094</v>
      </c>
      <c r="AQ97" s="334">
        <f t="shared" si="149"/>
        <v>271552</v>
      </c>
      <c r="AR97" s="334">
        <f t="shared" si="149"/>
        <v>0</v>
      </c>
      <c r="AS97" s="74">
        <f t="shared" si="149"/>
        <v>47.065600000000003</v>
      </c>
    </row>
    <row r="98" spans="1:45" s="67" customFormat="1" ht="14.1" customHeight="1" x14ac:dyDescent="0.2">
      <c r="A98" s="88">
        <v>19</v>
      </c>
      <c r="B98" s="73">
        <v>2446</v>
      </c>
      <c r="C98" s="64">
        <v>600080129</v>
      </c>
      <c r="D98" s="56">
        <v>72743522</v>
      </c>
      <c r="E98" s="56" t="s">
        <v>719</v>
      </c>
      <c r="F98" s="65">
        <v>3111</v>
      </c>
      <c r="G98" s="56" t="s">
        <v>277</v>
      </c>
      <c r="H98" s="66" t="s">
        <v>262</v>
      </c>
      <c r="I98" s="580">
        <v>3271876</v>
      </c>
      <c r="J98" s="14">
        <v>2421252</v>
      </c>
      <c r="K98" s="14">
        <v>6000</v>
      </c>
      <c r="L98" s="14">
        <v>820411</v>
      </c>
      <c r="M98" s="14">
        <v>24213</v>
      </c>
      <c r="N98" s="14">
        <v>0</v>
      </c>
      <c r="O98" s="633">
        <v>3.99</v>
      </c>
      <c r="P98" s="440">
        <f t="shared" si="83"/>
        <v>-4000</v>
      </c>
      <c r="Q98" s="325">
        <v>0</v>
      </c>
      <c r="R98" s="325">
        <v>0</v>
      </c>
      <c r="S98" s="325">
        <v>0</v>
      </c>
      <c r="T98" s="325">
        <v>0</v>
      </c>
      <c r="U98" s="325">
        <v>0</v>
      </c>
      <c r="V98" s="492">
        <f>P98+Q98+R98+S98+T98+U98</f>
        <v>-4000</v>
      </c>
      <c r="W98" s="325">
        <v>4000</v>
      </c>
      <c r="X98" s="325">
        <v>0</v>
      </c>
      <c r="Y98" s="325">
        <v>0</v>
      </c>
      <c r="Z98" s="492">
        <f t="shared" ref="Z98:Z101" si="150">W98+X98+Y98</f>
        <v>4000</v>
      </c>
      <c r="AA98" s="492">
        <f t="shared" ref="AA98:AA101" si="151">V98+Z98</f>
        <v>0</v>
      </c>
      <c r="AB98" s="494">
        <f t="shared" ref="AB98:AB101" si="152">ROUND((V98+Z98)*33.8%,0)</f>
        <v>0</v>
      </c>
      <c r="AC98" s="55">
        <f>ROUND(V98*1%,0)</f>
        <v>-40</v>
      </c>
      <c r="AD98" s="14">
        <v>0</v>
      </c>
      <c r="AE98" s="605">
        <f t="shared" si="113"/>
        <v>-40</v>
      </c>
      <c r="AF98" s="688">
        <v>-0.01</v>
      </c>
      <c r="AG98" s="326">
        <v>0</v>
      </c>
      <c r="AH98" s="326">
        <v>0</v>
      </c>
      <c r="AI98" s="326">
        <v>0</v>
      </c>
      <c r="AJ98" s="326">
        <v>0</v>
      </c>
      <c r="AK98" s="326">
        <v>0</v>
      </c>
      <c r="AL98" s="880">
        <f>SUM(AF98:AK98)</f>
        <v>-0.01</v>
      </c>
      <c r="AM98" s="676">
        <f>I98+AE98</f>
        <v>3271836</v>
      </c>
      <c r="AN98" s="492">
        <f>J98+V98</f>
        <v>2417252</v>
      </c>
      <c r="AO98" s="492">
        <f t="shared" ref="AO98:AO101" si="153">K98+Z98</f>
        <v>10000</v>
      </c>
      <c r="AP98" s="492">
        <f t="shared" ref="AP98:AQ101" si="154">L98+AB98</f>
        <v>820411</v>
      </c>
      <c r="AQ98" s="492">
        <f t="shared" si="154"/>
        <v>24173</v>
      </c>
      <c r="AR98" s="492">
        <f t="shared" si="115"/>
        <v>0</v>
      </c>
      <c r="AS98" s="609">
        <f>O98+AL98</f>
        <v>3.9800000000000004</v>
      </c>
    </row>
    <row r="99" spans="1:45" s="67" customFormat="1" ht="14.1" customHeight="1" x14ac:dyDescent="0.2">
      <c r="A99" s="88">
        <v>19</v>
      </c>
      <c r="B99" s="75">
        <v>2446</v>
      </c>
      <c r="C99" s="64">
        <v>600080129</v>
      </c>
      <c r="D99" s="56">
        <v>72743522</v>
      </c>
      <c r="E99" s="75" t="s">
        <v>719</v>
      </c>
      <c r="F99" s="76">
        <v>3117</v>
      </c>
      <c r="G99" s="75" t="s">
        <v>294</v>
      </c>
      <c r="H99" s="66" t="s">
        <v>262</v>
      </c>
      <c r="I99" s="580">
        <v>5058156</v>
      </c>
      <c r="J99" s="14">
        <v>3746386</v>
      </c>
      <c r="K99" s="14">
        <v>6000</v>
      </c>
      <c r="L99" s="14">
        <v>1268307</v>
      </c>
      <c r="M99" s="14">
        <v>37463</v>
      </c>
      <c r="N99" s="14">
        <v>0</v>
      </c>
      <c r="O99" s="633">
        <v>5.6260000000000003</v>
      </c>
      <c r="P99" s="440">
        <f t="shared" si="83"/>
        <v>-4000</v>
      </c>
      <c r="Q99" s="325">
        <v>0</v>
      </c>
      <c r="R99" s="325">
        <v>0</v>
      </c>
      <c r="S99" s="325">
        <v>0</v>
      </c>
      <c r="T99" s="325">
        <v>0</v>
      </c>
      <c r="U99" s="325">
        <v>0</v>
      </c>
      <c r="V99" s="492">
        <f>P99+Q99+R99+S99+T99+U99</f>
        <v>-4000</v>
      </c>
      <c r="W99" s="325">
        <v>4000</v>
      </c>
      <c r="X99" s="325">
        <v>0</v>
      </c>
      <c r="Y99" s="325">
        <v>0</v>
      </c>
      <c r="Z99" s="492">
        <f t="shared" si="150"/>
        <v>4000</v>
      </c>
      <c r="AA99" s="492">
        <f t="shared" si="151"/>
        <v>0</v>
      </c>
      <c r="AB99" s="494">
        <f t="shared" si="152"/>
        <v>0</v>
      </c>
      <c r="AC99" s="55">
        <f>ROUND(V99*1%,0)</f>
        <v>-40</v>
      </c>
      <c r="AD99" s="14">
        <v>0</v>
      </c>
      <c r="AE99" s="605">
        <f t="shared" si="113"/>
        <v>-40</v>
      </c>
      <c r="AF99" s="688">
        <v>0</v>
      </c>
      <c r="AG99" s="326">
        <v>0</v>
      </c>
      <c r="AH99" s="326">
        <v>0</v>
      </c>
      <c r="AI99" s="326">
        <v>0</v>
      </c>
      <c r="AJ99" s="326">
        <v>0</v>
      </c>
      <c r="AK99" s="326">
        <v>0</v>
      </c>
      <c r="AL99" s="880">
        <f>SUM(AF99:AK99)</f>
        <v>0</v>
      </c>
      <c r="AM99" s="676">
        <f>I99+AE99</f>
        <v>5058116</v>
      </c>
      <c r="AN99" s="492">
        <f>J99+V99</f>
        <v>3742386</v>
      </c>
      <c r="AO99" s="492">
        <f t="shared" si="153"/>
        <v>10000</v>
      </c>
      <c r="AP99" s="492">
        <f t="shared" si="154"/>
        <v>1268307</v>
      </c>
      <c r="AQ99" s="492">
        <f t="shared" si="154"/>
        <v>37423</v>
      </c>
      <c r="AR99" s="492">
        <f t="shared" si="115"/>
        <v>0</v>
      </c>
      <c r="AS99" s="609">
        <f>O99+AL99</f>
        <v>5.6260000000000003</v>
      </c>
    </row>
    <row r="100" spans="1:45" s="67" customFormat="1" ht="14.1" customHeight="1" x14ac:dyDescent="0.2">
      <c r="A100" s="88">
        <v>19</v>
      </c>
      <c r="B100" s="73">
        <v>2446</v>
      </c>
      <c r="C100" s="64">
        <v>600080129</v>
      </c>
      <c r="D100" s="56">
        <v>72743522</v>
      </c>
      <c r="E100" s="73" t="s">
        <v>719</v>
      </c>
      <c r="F100" s="65">
        <v>3117</v>
      </c>
      <c r="G100" s="56" t="s">
        <v>278</v>
      </c>
      <c r="H100" s="66" t="s">
        <v>263</v>
      </c>
      <c r="I100" s="580">
        <v>2330329</v>
      </c>
      <c r="J100" s="423">
        <v>1728731</v>
      </c>
      <c r="K100" s="423">
        <v>0</v>
      </c>
      <c r="L100" s="14">
        <v>584311</v>
      </c>
      <c r="M100" s="14">
        <v>17287</v>
      </c>
      <c r="N100" s="14">
        <v>0</v>
      </c>
      <c r="O100" s="698">
        <v>4.24</v>
      </c>
      <c r="P100" s="440">
        <f t="shared" si="83"/>
        <v>0</v>
      </c>
      <c r="Q100" s="325">
        <v>66141</v>
      </c>
      <c r="R100" s="325">
        <v>0</v>
      </c>
      <c r="S100" s="325">
        <v>0</v>
      </c>
      <c r="T100" s="325">
        <v>0</v>
      </c>
      <c r="U100" s="325">
        <v>0</v>
      </c>
      <c r="V100" s="492">
        <f>P100+Q100+R100+S100+T100+U100</f>
        <v>66141</v>
      </c>
      <c r="W100" s="325">
        <v>0</v>
      </c>
      <c r="X100" s="325">
        <v>0</v>
      </c>
      <c r="Y100" s="325">
        <v>0</v>
      </c>
      <c r="Z100" s="492">
        <f t="shared" si="150"/>
        <v>0</v>
      </c>
      <c r="AA100" s="492">
        <f t="shared" si="151"/>
        <v>66141</v>
      </c>
      <c r="AB100" s="494">
        <f t="shared" si="152"/>
        <v>22356</v>
      </c>
      <c r="AC100" s="55">
        <f>ROUND(V100*1%,0)</f>
        <v>661</v>
      </c>
      <c r="AD100" s="14">
        <v>0</v>
      </c>
      <c r="AE100" s="605">
        <f t="shared" si="113"/>
        <v>89158</v>
      </c>
      <c r="AF100" s="688">
        <v>0</v>
      </c>
      <c r="AG100" s="326">
        <v>0.17</v>
      </c>
      <c r="AH100" s="326">
        <v>0</v>
      </c>
      <c r="AI100" s="326">
        <v>0</v>
      </c>
      <c r="AJ100" s="326">
        <v>0</v>
      </c>
      <c r="AK100" s="326">
        <v>0</v>
      </c>
      <c r="AL100" s="880">
        <f>SUM(AF100:AK100)</f>
        <v>0.17</v>
      </c>
      <c r="AM100" s="676">
        <f>I100+AE100</f>
        <v>2419487</v>
      </c>
      <c r="AN100" s="492">
        <f>J100+V100</f>
        <v>1794872</v>
      </c>
      <c r="AO100" s="492">
        <f t="shared" si="153"/>
        <v>0</v>
      </c>
      <c r="AP100" s="492">
        <f t="shared" si="154"/>
        <v>606667</v>
      </c>
      <c r="AQ100" s="492">
        <f t="shared" si="154"/>
        <v>17948</v>
      </c>
      <c r="AR100" s="492">
        <f t="shared" si="115"/>
        <v>0</v>
      </c>
      <c r="AS100" s="609">
        <f>O100+AL100</f>
        <v>4.41</v>
      </c>
    </row>
    <row r="101" spans="1:45" s="67" customFormat="1" ht="14.1" customHeight="1" x14ac:dyDescent="0.2">
      <c r="A101" s="88">
        <v>19</v>
      </c>
      <c r="B101" s="56">
        <v>2446</v>
      </c>
      <c r="C101" s="64">
        <v>600080129</v>
      </c>
      <c r="D101" s="56">
        <v>72743522</v>
      </c>
      <c r="E101" s="56" t="s">
        <v>719</v>
      </c>
      <c r="F101" s="65">
        <v>3143</v>
      </c>
      <c r="G101" s="56" t="s">
        <v>794</v>
      </c>
      <c r="H101" s="66" t="s">
        <v>262</v>
      </c>
      <c r="I101" s="580">
        <v>968123</v>
      </c>
      <c r="J101" s="14">
        <v>718192</v>
      </c>
      <c r="K101" s="14">
        <v>0</v>
      </c>
      <c r="L101" s="14">
        <v>242749</v>
      </c>
      <c r="M101" s="14">
        <v>7182</v>
      </c>
      <c r="N101" s="14">
        <v>0</v>
      </c>
      <c r="O101" s="633">
        <v>1.3959999999999999</v>
      </c>
      <c r="P101" s="440">
        <f t="shared" si="83"/>
        <v>0</v>
      </c>
      <c r="Q101" s="325">
        <v>0</v>
      </c>
      <c r="R101" s="325">
        <v>0</v>
      </c>
      <c r="S101" s="325">
        <v>0</v>
      </c>
      <c r="T101" s="325">
        <v>0</v>
      </c>
      <c r="U101" s="325">
        <v>0</v>
      </c>
      <c r="V101" s="492">
        <f>P101+Q101+R101+S101+T101+U101</f>
        <v>0</v>
      </c>
      <c r="W101" s="325">
        <v>0</v>
      </c>
      <c r="X101" s="325">
        <v>0</v>
      </c>
      <c r="Y101" s="325">
        <v>0</v>
      </c>
      <c r="Z101" s="492">
        <f t="shared" si="150"/>
        <v>0</v>
      </c>
      <c r="AA101" s="492">
        <f t="shared" si="151"/>
        <v>0</v>
      </c>
      <c r="AB101" s="494">
        <f t="shared" si="152"/>
        <v>0</v>
      </c>
      <c r="AC101" s="55">
        <f>ROUND(V101*1%,0)</f>
        <v>0</v>
      </c>
      <c r="AD101" s="14">
        <v>0</v>
      </c>
      <c r="AE101" s="605">
        <f t="shared" si="113"/>
        <v>0</v>
      </c>
      <c r="AF101" s="688">
        <v>0</v>
      </c>
      <c r="AG101" s="326">
        <v>0</v>
      </c>
      <c r="AH101" s="326">
        <v>0</v>
      </c>
      <c r="AI101" s="326">
        <v>0</v>
      </c>
      <c r="AJ101" s="326">
        <v>0</v>
      </c>
      <c r="AK101" s="326">
        <v>0</v>
      </c>
      <c r="AL101" s="880">
        <f>SUM(AF101:AK101)</f>
        <v>0</v>
      </c>
      <c r="AM101" s="676">
        <f>I101+AE101</f>
        <v>968123</v>
      </c>
      <c r="AN101" s="492">
        <f>J101+V101</f>
        <v>718192</v>
      </c>
      <c r="AO101" s="492">
        <f t="shared" si="153"/>
        <v>0</v>
      </c>
      <c r="AP101" s="492">
        <f t="shared" si="154"/>
        <v>242749</v>
      </c>
      <c r="AQ101" s="492">
        <f t="shared" si="154"/>
        <v>7182</v>
      </c>
      <c r="AR101" s="492">
        <f t="shared" si="115"/>
        <v>0</v>
      </c>
      <c r="AS101" s="609">
        <f>O101+AL101</f>
        <v>1.3959999999999999</v>
      </c>
    </row>
    <row r="102" spans="1:45" s="67" customFormat="1" ht="14.1" customHeight="1" thickBot="1" x14ac:dyDescent="0.25">
      <c r="A102" s="89">
        <v>19</v>
      </c>
      <c r="B102" s="79">
        <v>2446</v>
      </c>
      <c r="C102" s="80">
        <v>600080129</v>
      </c>
      <c r="D102" s="79">
        <v>72743522</v>
      </c>
      <c r="E102" s="79" t="s">
        <v>720</v>
      </c>
      <c r="F102" s="81"/>
      <c r="G102" s="82"/>
      <c r="H102" s="83"/>
      <c r="I102" s="622">
        <v>11628484</v>
      </c>
      <c r="J102" s="375">
        <v>8614561</v>
      </c>
      <c r="K102" s="375">
        <v>12000</v>
      </c>
      <c r="L102" s="375">
        <v>2915778</v>
      </c>
      <c r="M102" s="375">
        <v>86145</v>
      </c>
      <c r="N102" s="375">
        <v>0</v>
      </c>
      <c r="O102" s="677">
        <v>15.251999999999999</v>
      </c>
      <c r="P102" s="694">
        <f t="shared" ref="P102:Z102" si="155">SUM(P98:P101)</f>
        <v>-8000</v>
      </c>
      <c r="Q102" s="375">
        <f t="shared" si="155"/>
        <v>66141</v>
      </c>
      <c r="R102" s="375">
        <f t="shared" si="155"/>
        <v>0</v>
      </c>
      <c r="S102" s="375">
        <f t="shared" si="155"/>
        <v>0</v>
      </c>
      <c r="T102" s="375">
        <f t="shared" si="155"/>
        <v>0</v>
      </c>
      <c r="U102" s="375">
        <f t="shared" si="155"/>
        <v>0</v>
      </c>
      <c r="V102" s="375">
        <f t="shared" si="155"/>
        <v>58141</v>
      </c>
      <c r="W102" s="375">
        <f t="shared" si="155"/>
        <v>8000</v>
      </c>
      <c r="X102" s="375">
        <f t="shared" si="155"/>
        <v>0</v>
      </c>
      <c r="Y102" s="375">
        <f t="shared" si="155"/>
        <v>0</v>
      </c>
      <c r="Z102" s="375">
        <f t="shared" si="155"/>
        <v>8000</v>
      </c>
      <c r="AA102" s="375">
        <f t="shared" ref="AA102:AS102" si="156">SUM(AA98:AA101)</f>
        <v>66141</v>
      </c>
      <c r="AB102" s="375">
        <f t="shared" si="156"/>
        <v>22356</v>
      </c>
      <c r="AC102" s="375">
        <f t="shared" si="156"/>
        <v>581</v>
      </c>
      <c r="AD102" s="375">
        <f t="shared" si="156"/>
        <v>0</v>
      </c>
      <c r="AE102" s="687">
        <f t="shared" si="156"/>
        <v>89078</v>
      </c>
      <c r="AF102" s="699">
        <f t="shared" si="156"/>
        <v>-0.01</v>
      </c>
      <c r="AG102" s="700">
        <f t="shared" si="156"/>
        <v>0.17</v>
      </c>
      <c r="AH102" s="700">
        <f t="shared" si="156"/>
        <v>0</v>
      </c>
      <c r="AI102" s="700">
        <f t="shared" si="156"/>
        <v>0</v>
      </c>
      <c r="AJ102" s="700">
        <f t="shared" si="156"/>
        <v>0</v>
      </c>
      <c r="AK102" s="700">
        <f t="shared" si="156"/>
        <v>0</v>
      </c>
      <c r="AL102" s="883">
        <f t="shared" si="156"/>
        <v>0.16</v>
      </c>
      <c r="AM102" s="622">
        <f t="shared" si="156"/>
        <v>11717562</v>
      </c>
      <c r="AN102" s="375">
        <f t="shared" si="156"/>
        <v>8672702</v>
      </c>
      <c r="AO102" s="375">
        <f t="shared" si="156"/>
        <v>20000</v>
      </c>
      <c r="AP102" s="375">
        <f t="shared" si="156"/>
        <v>2938134</v>
      </c>
      <c r="AQ102" s="375">
        <f t="shared" si="156"/>
        <v>86726</v>
      </c>
      <c r="AR102" s="375">
        <f t="shared" si="156"/>
        <v>0</v>
      </c>
      <c r="AS102" s="677">
        <f t="shared" si="156"/>
        <v>15.412000000000003</v>
      </c>
    </row>
    <row r="103" spans="1:45" s="67" customFormat="1" ht="14.1" customHeight="1" thickBot="1" x14ac:dyDescent="0.25">
      <c r="A103" s="169"/>
      <c r="B103" s="170"/>
      <c r="C103" s="170"/>
      <c r="D103" s="170"/>
      <c r="E103" s="170" t="s">
        <v>721</v>
      </c>
      <c r="F103" s="170"/>
      <c r="G103" s="170"/>
      <c r="H103" s="171"/>
      <c r="I103" s="619">
        <f t="shared" ref="I103:AS103" si="157">I102+I97+I89+I87+I81+I79+I76+I71+I68+I65+I60+I55+I49+I44+I39+I34+I29+I24+I16</f>
        <v>323156813</v>
      </c>
      <c r="J103" s="435">
        <f t="shared" si="157"/>
        <v>239118127</v>
      </c>
      <c r="K103" s="435">
        <f t="shared" si="157"/>
        <v>617025</v>
      </c>
      <c r="L103" s="435">
        <f t="shared" si="157"/>
        <v>81030480</v>
      </c>
      <c r="M103" s="435">
        <f t="shared" si="157"/>
        <v>2391181</v>
      </c>
      <c r="N103" s="435">
        <f t="shared" si="157"/>
        <v>0</v>
      </c>
      <c r="O103" s="695">
        <f t="shared" si="157"/>
        <v>392.82560000000007</v>
      </c>
      <c r="P103" s="619">
        <f t="shared" si="157"/>
        <v>-754400</v>
      </c>
      <c r="Q103" s="435">
        <f t="shared" si="157"/>
        <v>405377</v>
      </c>
      <c r="R103" s="435">
        <f t="shared" si="157"/>
        <v>0</v>
      </c>
      <c r="S103" s="435">
        <f t="shared" si="157"/>
        <v>0</v>
      </c>
      <c r="T103" s="435">
        <f t="shared" si="157"/>
        <v>0</v>
      </c>
      <c r="U103" s="435">
        <f t="shared" si="157"/>
        <v>0</v>
      </c>
      <c r="V103" s="583">
        <f t="shared" si="157"/>
        <v>-349023</v>
      </c>
      <c r="W103" s="401">
        <f t="shared" si="157"/>
        <v>754400</v>
      </c>
      <c r="X103" s="435">
        <f t="shared" si="157"/>
        <v>0</v>
      </c>
      <c r="Y103" s="435">
        <f t="shared" si="157"/>
        <v>0</v>
      </c>
      <c r="Z103" s="435">
        <f t="shared" si="157"/>
        <v>754400</v>
      </c>
      <c r="AA103" s="435">
        <f t="shared" si="157"/>
        <v>405377</v>
      </c>
      <c r="AB103" s="435">
        <f t="shared" si="157"/>
        <v>137017</v>
      </c>
      <c r="AC103" s="435">
        <f t="shared" si="157"/>
        <v>-3492</v>
      </c>
      <c r="AD103" s="435">
        <f t="shared" si="157"/>
        <v>0</v>
      </c>
      <c r="AE103" s="585">
        <f t="shared" si="157"/>
        <v>538902</v>
      </c>
      <c r="AF103" s="586">
        <f t="shared" si="157"/>
        <v>-0.83000000000000007</v>
      </c>
      <c r="AG103" s="587">
        <f t="shared" si="157"/>
        <v>0.97</v>
      </c>
      <c r="AH103" s="587">
        <f t="shared" si="157"/>
        <v>0</v>
      </c>
      <c r="AI103" s="587">
        <f t="shared" si="157"/>
        <v>0</v>
      </c>
      <c r="AJ103" s="587">
        <f t="shared" si="157"/>
        <v>0</v>
      </c>
      <c r="AK103" s="587">
        <f t="shared" si="157"/>
        <v>0</v>
      </c>
      <c r="AL103" s="584">
        <f t="shared" si="157"/>
        <v>0.14000000000000001</v>
      </c>
      <c r="AM103" s="619">
        <f t="shared" si="157"/>
        <v>323695715</v>
      </c>
      <c r="AN103" s="401">
        <f t="shared" si="157"/>
        <v>238769104</v>
      </c>
      <c r="AO103" s="401">
        <f t="shared" si="157"/>
        <v>1371425</v>
      </c>
      <c r="AP103" s="401">
        <f t="shared" si="157"/>
        <v>81167497</v>
      </c>
      <c r="AQ103" s="401">
        <f t="shared" si="157"/>
        <v>2387689</v>
      </c>
      <c r="AR103" s="401">
        <f t="shared" si="157"/>
        <v>0</v>
      </c>
      <c r="AS103" s="886">
        <f t="shared" si="157"/>
        <v>392.96560000000005</v>
      </c>
    </row>
    <row r="104" spans="1:45" s="67" customFormat="1" ht="14.1" customHeight="1" x14ac:dyDescent="0.2">
      <c r="A104" s="85"/>
      <c r="E104" s="84"/>
      <c r="F104" s="84"/>
      <c r="G104" s="84"/>
      <c r="H104" s="84"/>
      <c r="I104" s="328">
        <f>SUM(J103:M103)</f>
        <v>323156813</v>
      </c>
      <c r="J104" s="328"/>
      <c r="K104" s="328"/>
      <c r="L104" s="328"/>
      <c r="M104" s="328"/>
      <c r="N104" s="328"/>
      <c r="O104" s="329"/>
      <c r="P104" s="328">
        <f>W103</f>
        <v>754400</v>
      </c>
      <c r="Q104" s="329"/>
      <c r="R104" s="329"/>
      <c r="S104" s="329"/>
      <c r="T104" s="328"/>
      <c r="U104" s="329"/>
      <c r="V104" s="330">
        <f>SUM(P103:U103)</f>
        <v>-349023</v>
      </c>
      <c r="W104" s="330"/>
      <c r="X104" s="331"/>
      <c r="Y104" s="331"/>
      <c r="Z104" s="330">
        <f>SUM(W103:Y103)</f>
        <v>754400</v>
      </c>
      <c r="AA104" s="330"/>
      <c r="AB104" s="332"/>
      <c r="AC104" s="332"/>
      <c r="AD104" s="332"/>
      <c r="AE104" s="330">
        <f>SUM(AA103:AC103)</f>
        <v>538902</v>
      </c>
      <c r="AF104" s="333"/>
      <c r="AG104" s="333"/>
      <c r="AH104" s="333"/>
      <c r="AI104" s="333"/>
      <c r="AJ104" s="381"/>
      <c r="AK104" s="333"/>
      <c r="AL104" s="381"/>
      <c r="AM104" s="328">
        <f>SUM(AN103:AQ103)</f>
        <v>323695715</v>
      </c>
      <c r="AN104" s="328"/>
      <c r="AO104" s="58"/>
      <c r="AP104" s="330"/>
      <c r="AQ104" s="330"/>
      <c r="AR104" s="330"/>
      <c r="AS104" s="329"/>
    </row>
    <row r="105" spans="1:45" customFormat="1" ht="13.5" thickBot="1" x14ac:dyDescent="0.25">
      <c r="D105" s="20"/>
      <c r="E105" s="21"/>
      <c r="F105" s="20"/>
      <c r="G105" s="37"/>
      <c r="H105" s="21"/>
      <c r="I105" s="328">
        <f>SUM(J106:M106)</f>
        <v>323156813</v>
      </c>
      <c r="J105" s="328"/>
      <c r="K105" s="328"/>
      <c r="L105" s="328"/>
      <c r="M105" s="328"/>
      <c r="N105" s="328"/>
      <c r="O105" s="329"/>
      <c r="P105" s="328">
        <f>W106</f>
        <v>754400</v>
      </c>
      <c r="Q105" s="329"/>
      <c r="R105" s="329"/>
      <c r="S105" s="329"/>
      <c r="T105" s="328"/>
      <c r="U105" s="329"/>
      <c r="V105" s="330">
        <f>SUM(P106:U106)</f>
        <v>-349023</v>
      </c>
      <c r="W105" s="330"/>
      <c r="X105" s="331"/>
      <c r="Y105" s="331"/>
      <c r="Z105" s="330">
        <f>SUM(W106:Y106)</f>
        <v>754400</v>
      </c>
      <c r="AA105" s="330"/>
      <c r="AB105" s="332"/>
      <c r="AC105" s="332"/>
      <c r="AD105" s="332"/>
      <c r="AE105" s="330">
        <f>SUM(AA106:AC106)</f>
        <v>538902</v>
      </c>
      <c r="AF105" s="333"/>
      <c r="AG105" s="333"/>
      <c r="AH105" s="333"/>
      <c r="AI105" s="333"/>
      <c r="AJ105" s="381"/>
      <c r="AK105" s="333"/>
      <c r="AL105" s="381"/>
      <c r="AM105" s="328">
        <f>AN106+AO106+AP106+AQ106</f>
        <v>323695715</v>
      </c>
      <c r="AN105" s="328"/>
      <c r="AO105" s="58"/>
      <c r="AP105" s="48"/>
      <c r="AQ105" s="48"/>
      <c r="AR105" s="48"/>
      <c r="AS105" s="329"/>
    </row>
    <row r="106" spans="1:45" customFormat="1" ht="13.5" thickBot="1" x14ac:dyDescent="0.25">
      <c r="D106" s="20"/>
      <c r="E106" s="21"/>
      <c r="F106" s="20"/>
      <c r="G106" s="37"/>
      <c r="H106" s="338" t="s">
        <v>0</v>
      </c>
      <c r="I106" s="421">
        <f>SUM(I107:I116)</f>
        <v>323156813</v>
      </c>
      <c r="J106" s="422">
        <f t="shared" ref="J106:AQ106" si="158">SUM(J107:J116)</f>
        <v>239118127</v>
      </c>
      <c r="K106" s="422">
        <f t="shared" si="158"/>
        <v>617025</v>
      </c>
      <c r="L106" s="422">
        <f t="shared" si="158"/>
        <v>81030480</v>
      </c>
      <c r="M106" s="422">
        <f t="shared" si="158"/>
        <v>2391181</v>
      </c>
      <c r="N106" s="422">
        <f t="shared" ref="N106" si="159">SUM(N107:N116)</f>
        <v>0</v>
      </c>
      <c r="O106" s="674">
        <f t="shared" si="158"/>
        <v>392.82559999999989</v>
      </c>
      <c r="P106" s="101">
        <f t="shared" si="158"/>
        <v>-754400</v>
      </c>
      <c r="Q106" s="31">
        <f t="shared" si="158"/>
        <v>405377</v>
      </c>
      <c r="R106" s="31">
        <f t="shared" si="158"/>
        <v>0</v>
      </c>
      <c r="S106" s="31">
        <f t="shared" si="158"/>
        <v>0</v>
      </c>
      <c r="T106" s="31">
        <f t="shared" si="158"/>
        <v>0</v>
      </c>
      <c r="U106" s="31">
        <f t="shared" si="158"/>
        <v>0</v>
      </c>
      <c r="V106" s="31">
        <f t="shared" si="158"/>
        <v>-349023</v>
      </c>
      <c r="W106" s="31">
        <f t="shared" si="158"/>
        <v>754400</v>
      </c>
      <c r="X106" s="31">
        <f t="shared" si="158"/>
        <v>0</v>
      </c>
      <c r="Y106" s="31">
        <f t="shared" si="158"/>
        <v>0</v>
      </c>
      <c r="Z106" s="31">
        <f t="shared" si="158"/>
        <v>754400</v>
      </c>
      <c r="AA106" s="31">
        <f t="shared" ref="AA106" si="160">SUM(AA107:AA116)</f>
        <v>405377</v>
      </c>
      <c r="AB106" s="31">
        <f t="shared" si="158"/>
        <v>137017</v>
      </c>
      <c r="AC106" s="31">
        <f t="shared" si="158"/>
        <v>-3492</v>
      </c>
      <c r="AD106" s="31">
        <f t="shared" ref="AD106" si="161">SUM(AD107:AD116)</f>
        <v>0</v>
      </c>
      <c r="AE106" s="624">
        <f t="shared" si="158"/>
        <v>538902</v>
      </c>
      <c r="AF106" s="628">
        <f t="shared" si="158"/>
        <v>-0.83</v>
      </c>
      <c r="AG106" s="32">
        <f t="shared" si="158"/>
        <v>0.97000000000000008</v>
      </c>
      <c r="AH106" s="32">
        <f t="shared" si="158"/>
        <v>0</v>
      </c>
      <c r="AI106" s="32">
        <f t="shared" si="158"/>
        <v>0</v>
      </c>
      <c r="AJ106" s="32">
        <f t="shared" si="158"/>
        <v>0</v>
      </c>
      <c r="AK106" s="32">
        <f t="shared" si="158"/>
        <v>0</v>
      </c>
      <c r="AL106" s="629">
        <f t="shared" si="158"/>
        <v>0.14000000000000001</v>
      </c>
      <c r="AM106" s="96">
        <f t="shared" si="158"/>
        <v>323695715</v>
      </c>
      <c r="AN106" s="31">
        <f t="shared" si="158"/>
        <v>238769104</v>
      </c>
      <c r="AO106" s="31">
        <f t="shared" si="158"/>
        <v>1371425</v>
      </c>
      <c r="AP106" s="31">
        <f t="shared" si="158"/>
        <v>81167497</v>
      </c>
      <c r="AQ106" s="31">
        <f t="shared" si="158"/>
        <v>2387689</v>
      </c>
      <c r="AR106" s="31">
        <f t="shared" ref="AR106" si="162">SUM(AR107:AR116)</f>
        <v>0</v>
      </c>
      <c r="AS106" s="629">
        <f t="shared" ref="AS106" si="163">SUM(AS107:AS116)</f>
        <v>392.96559999999994</v>
      </c>
    </row>
    <row r="107" spans="1:45" customFormat="1" ht="12.75" x14ac:dyDescent="0.2">
      <c r="D107" s="20"/>
      <c r="E107" s="21"/>
      <c r="F107" s="20"/>
      <c r="G107" s="37"/>
      <c r="H107" s="339">
        <v>3111</v>
      </c>
      <c r="I107" s="370">
        <f t="shared" ref="I107:AS107" si="164">SUMIF($F$12:$F$118,"=3111",I$12:I$118)</f>
        <v>65649213</v>
      </c>
      <c r="J107" s="371">
        <f t="shared" si="164"/>
        <v>48490372</v>
      </c>
      <c r="K107" s="371">
        <f t="shared" si="164"/>
        <v>212400</v>
      </c>
      <c r="L107" s="371">
        <f t="shared" si="164"/>
        <v>16461537</v>
      </c>
      <c r="M107" s="371">
        <f t="shared" si="164"/>
        <v>484904</v>
      </c>
      <c r="N107" s="371">
        <f t="shared" si="164"/>
        <v>0</v>
      </c>
      <c r="O107" s="631">
        <f t="shared" si="164"/>
        <v>82.293199999999985</v>
      </c>
      <c r="P107" s="29">
        <f t="shared" si="164"/>
        <v>-141600</v>
      </c>
      <c r="Q107" s="98">
        <f t="shared" si="164"/>
        <v>223227</v>
      </c>
      <c r="R107" s="98">
        <f t="shared" si="164"/>
        <v>0</v>
      </c>
      <c r="S107" s="98">
        <f t="shared" si="164"/>
        <v>0</v>
      </c>
      <c r="T107" s="98">
        <f t="shared" si="164"/>
        <v>0</v>
      </c>
      <c r="U107" s="98">
        <f t="shared" si="164"/>
        <v>0</v>
      </c>
      <c r="V107" s="98">
        <f t="shared" si="164"/>
        <v>81627</v>
      </c>
      <c r="W107" s="98">
        <f t="shared" si="164"/>
        <v>141600</v>
      </c>
      <c r="X107" s="98">
        <f t="shared" si="164"/>
        <v>0</v>
      </c>
      <c r="Y107" s="98">
        <f t="shared" si="164"/>
        <v>0</v>
      </c>
      <c r="Z107" s="98">
        <f t="shared" si="164"/>
        <v>141600</v>
      </c>
      <c r="AA107" s="98">
        <f t="shared" si="164"/>
        <v>223227</v>
      </c>
      <c r="AB107" s="98">
        <f t="shared" si="164"/>
        <v>75451</v>
      </c>
      <c r="AC107" s="98">
        <f t="shared" si="164"/>
        <v>816</v>
      </c>
      <c r="AD107" s="98">
        <f t="shared" si="164"/>
        <v>0</v>
      </c>
      <c r="AE107" s="636">
        <f t="shared" si="164"/>
        <v>299494</v>
      </c>
      <c r="AF107" s="639">
        <f t="shared" si="164"/>
        <v>-9.9999999999999992E-2</v>
      </c>
      <c r="AG107" s="99">
        <f t="shared" si="164"/>
        <v>0.56000000000000005</v>
      </c>
      <c r="AH107" s="99">
        <f t="shared" si="164"/>
        <v>0</v>
      </c>
      <c r="AI107" s="99">
        <f t="shared" si="164"/>
        <v>0</v>
      </c>
      <c r="AJ107" s="99">
        <f t="shared" si="164"/>
        <v>0</v>
      </c>
      <c r="AK107" s="99">
        <f t="shared" si="164"/>
        <v>0</v>
      </c>
      <c r="AL107" s="640">
        <f t="shared" si="164"/>
        <v>0.46</v>
      </c>
      <c r="AM107" s="28">
        <f t="shared" si="164"/>
        <v>65948707</v>
      </c>
      <c r="AN107" s="98">
        <f t="shared" si="164"/>
        <v>48571999</v>
      </c>
      <c r="AO107" s="98">
        <f t="shared" si="164"/>
        <v>354000</v>
      </c>
      <c r="AP107" s="98">
        <f t="shared" si="164"/>
        <v>16536988</v>
      </c>
      <c r="AQ107" s="98">
        <f t="shared" si="164"/>
        <v>485720</v>
      </c>
      <c r="AR107" s="98">
        <f t="shared" si="164"/>
        <v>0</v>
      </c>
      <c r="AS107" s="640">
        <f t="shared" si="164"/>
        <v>82.753200000000007</v>
      </c>
    </row>
    <row r="108" spans="1:45" customFormat="1" ht="12.75" x14ac:dyDescent="0.2">
      <c r="D108" s="20"/>
      <c r="E108" s="21"/>
      <c r="F108" s="20"/>
      <c r="G108" s="37"/>
      <c r="H108" s="2">
        <v>3113</v>
      </c>
      <c r="I108" s="370">
        <f t="shared" ref="I108:AS108" si="165">SUMIF($F$12:$F$118,"=3113",I$12:I$118)</f>
        <v>167596837</v>
      </c>
      <c r="J108" s="14">
        <f t="shared" si="165"/>
        <v>124172176</v>
      </c>
      <c r="K108" s="14">
        <f t="shared" si="165"/>
        <v>159000</v>
      </c>
      <c r="L108" s="14">
        <f t="shared" si="165"/>
        <v>42023938</v>
      </c>
      <c r="M108" s="14">
        <f t="shared" si="165"/>
        <v>1241723</v>
      </c>
      <c r="N108" s="14">
        <f t="shared" si="165"/>
        <v>0</v>
      </c>
      <c r="O108" s="633">
        <f t="shared" si="165"/>
        <v>196.79169999999999</v>
      </c>
      <c r="P108" s="34">
        <f t="shared" si="165"/>
        <v>-106000</v>
      </c>
      <c r="Q108" s="23">
        <f t="shared" si="165"/>
        <v>118216</v>
      </c>
      <c r="R108" s="23">
        <f t="shared" si="165"/>
        <v>0</v>
      </c>
      <c r="S108" s="23">
        <f t="shared" si="165"/>
        <v>0</v>
      </c>
      <c r="T108" s="23">
        <f t="shared" si="165"/>
        <v>0</v>
      </c>
      <c r="U108" s="23">
        <f t="shared" si="165"/>
        <v>0</v>
      </c>
      <c r="V108" s="23">
        <f t="shared" si="165"/>
        <v>12216</v>
      </c>
      <c r="W108" s="23">
        <f t="shared" si="165"/>
        <v>106000</v>
      </c>
      <c r="X108" s="23">
        <f t="shared" si="165"/>
        <v>0</v>
      </c>
      <c r="Y108" s="23">
        <f t="shared" si="165"/>
        <v>0</v>
      </c>
      <c r="Z108" s="23">
        <f t="shared" si="165"/>
        <v>106000</v>
      </c>
      <c r="AA108" s="23">
        <f t="shared" si="165"/>
        <v>118216</v>
      </c>
      <c r="AB108" s="23">
        <f t="shared" si="165"/>
        <v>39956</v>
      </c>
      <c r="AC108" s="23">
        <f t="shared" si="165"/>
        <v>121</v>
      </c>
      <c r="AD108" s="23">
        <f t="shared" si="165"/>
        <v>0</v>
      </c>
      <c r="AE108" s="637">
        <f t="shared" si="165"/>
        <v>158293</v>
      </c>
      <c r="AF108" s="641">
        <f t="shared" si="165"/>
        <v>0</v>
      </c>
      <c r="AG108" s="24">
        <f t="shared" si="165"/>
        <v>0.24</v>
      </c>
      <c r="AH108" s="24">
        <f t="shared" si="165"/>
        <v>0</v>
      </c>
      <c r="AI108" s="24">
        <f t="shared" si="165"/>
        <v>0</v>
      </c>
      <c r="AJ108" s="24">
        <f t="shared" si="165"/>
        <v>0</v>
      </c>
      <c r="AK108" s="24">
        <f t="shared" si="165"/>
        <v>0</v>
      </c>
      <c r="AL108" s="642">
        <f t="shared" si="165"/>
        <v>0.24</v>
      </c>
      <c r="AM108" s="22">
        <f t="shared" si="165"/>
        <v>167755130</v>
      </c>
      <c r="AN108" s="23">
        <f t="shared" si="165"/>
        <v>124184392</v>
      </c>
      <c r="AO108" s="23">
        <f t="shared" si="165"/>
        <v>265000</v>
      </c>
      <c r="AP108" s="23">
        <f t="shared" si="165"/>
        <v>42063894</v>
      </c>
      <c r="AQ108" s="23">
        <f t="shared" si="165"/>
        <v>1241844</v>
      </c>
      <c r="AR108" s="23">
        <f t="shared" si="165"/>
        <v>0</v>
      </c>
      <c r="AS108" s="642">
        <f t="shared" si="165"/>
        <v>197.0317</v>
      </c>
    </row>
    <row r="109" spans="1:45" customFormat="1" ht="12.75" x14ac:dyDescent="0.2">
      <c r="D109" s="20"/>
      <c r="E109" s="21"/>
      <c r="F109" s="20"/>
      <c r="G109" s="37"/>
      <c r="H109" s="2">
        <v>3114</v>
      </c>
      <c r="I109" s="370">
        <f t="shared" ref="I109:AS109" si="166">SUMIF($F$12:$F$118,"=3114",I$12:I$118)</f>
        <v>15856794</v>
      </c>
      <c r="J109" s="14">
        <f t="shared" si="166"/>
        <v>11763200</v>
      </c>
      <c r="K109" s="14">
        <f t="shared" si="166"/>
        <v>0</v>
      </c>
      <c r="L109" s="14">
        <f t="shared" si="166"/>
        <v>3975962</v>
      </c>
      <c r="M109" s="14">
        <f t="shared" si="166"/>
        <v>117632</v>
      </c>
      <c r="N109" s="14">
        <f t="shared" si="166"/>
        <v>0</v>
      </c>
      <c r="O109" s="633">
        <f t="shared" si="166"/>
        <v>18.3794</v>
      </c>
      <c r="P109" s="34">
        <f t="shared" si="166"/>
        <v>0</v>
      </c>
      <c r="Q109" s="23">
        <f t="shared" si="166"/>
        <v>0</v>
      </c>
      <c r="R109" s="23">
        <f t="shared" si="166"/>
        <v>0</v>
      </c>
      <c r="S109" s="23">
        <f t="shared" si="166"/>
        <v>0</v>
      </c>
      <c r="T109" s="23">
        <f t="shared" si="166"/>
        <v>0</v>
      </c>
      <c r="U109" s="23">
        <f t="shared" si="166"/>
        <v>0</v>
      </c>
      <c r="V109" s="23">
        <f t="shared" si="166"/>
        <v>0</v>
      </c>
      <c r="W109" s="23">
        <f t="shared" si="166"/>
        <v>0</v>
      </c>
      <c r="X109" s="23">
        <f t="shared" si="166"/>
        <v>0</v>
      </c>
      <c r="Y109" s="23">
        <f t="shared" si="166"/>
        <v>0</v>
      </c>
      <c r="Z109" s="23">
        <f t="shared" si="166"/>
        <v>0</v>
      </c>
      <c r="AA109" s="23">
        <f t="shared" si="166"/>
        <v>0</v>
      </c>
      <c r="AB109" s="23">
        <f t="shared" si="166"/>
        <v>0</v>
      </c>
      <c r="AC109" s="23">
        <f t="shared" si="166"/>
        <v>0</v>
      </c>
      <c r="AD109" s="23">
        <f t="shared" si="166"/>
        <v>0</v>
      </c>
      <c r="AE109" s="637">
        <f t="shared" si="166"/>
        <v>0</v>
      </c>
      <c r="AF109" s="641">
        <f t="shared" si="166"/>
        <v>0</v>
      </c>
      <c r="AG109" s="24">
        <f t="shared" si="166"/>
        <v>0</v>
      </c>
      <c r="AH109" s="24">
        <f t="shared" si="166"/>
        <v>0</v>
      </c>
      <c r="AI109" s="24">
        <f t="shared" si="166"/>
        <v>0</v>
      </c>
      <c r="AJ109" s="24">
        <f t="shared" si="166"/>
        <v>0</v>
      </c>
      <c r="AK109" s="24">
        <f t="shared" si="166"/>
        <v>0</v>
      </c>
      <c r="AL109" s="642">
        <f t="shared" si="166"/>
        <v>0</v>
      </c>
      <c r="AM109" s="22">
        <f t="shared" si="166"/>
        <v>15856794</v>
      </c>
      <c r="AN109" s="23">
        <f t="shared" si="166"/>
        <v>11763200</v>
      </c>
      <c r="AO109" s="23">
        <f t="shared" si="166"/>
        <v>0</v>
      </c>
      <c r="AP109" s="23">
        <f t="shared" si="166"/>
        <v>3975962</v>
      </c>
      <c r="AQ109" s="23">
        <f t="shared" si="166"/>
        <v>117632</v>
      </c>
      <c r="AR109" s="23">
        <f t="shared" si="166"/>
        <v>0</v>
      </c>
      <c r="AS109" s="642">
        <f t="shared" si="166"/>
        <v>18.3794</v>
      </c>
    </row>
    <row r="110" spans="1:45" customFormat="1" ht="12.75" x14ac:dyDescent="0.2">
      <c r="D110" s="20"/>
      <c r="E110" s="21"/>
      <c r="F110" s="20"/>
      <c r="G110" s="37"/>
      <c r="H110" s="2">
        <v>3117</v>
      </c>
      <c r="I110" s="370">
        <f t="shared" ref="I110:AS110" si="167">SUMIF($F$12:$F$118,"=3117",I$12:I$118)</f>
        <v>37561012</v>
      </c>
      <c r="J110" s="14">
        <f t="shared" si="167"/>
        <v>27751472</v>
      </c>
      <c r="K110" s="14">
        <f t="shared" si="167"/>
        <v>113625</v>
      </c>
      <c r="L110" s="14">
        <f t="shared" si="167"/>
        <v>9418401</v>
      </c>
      <c r="M110" s="14">
        <f t="shared" si="167"/>
        <v>277514</v>
      </c>
      <c r="N110" s="14">
        <f t="shared" si="167"/>
        <v>0</v>
      </c>
      <c r="O110" s="633">
        <f t="shared" si="167"/>
        <v>48.704599999999999</v>
      </c>
      <c r="P110" s="34">
        <f t="shared" si="167"/>
        <v>-18800</v>
      </c>
      <c r="Q110" s="23">
        <f t="shared" si="167"/>
        <v>63934</v>
      </c>
      <c r="R110" s="23">
        <f t="shared" si="167"/>
        <v>0</v>
      </c>
      <c r="S110" s="23">
        <f t="shared" si="167"/>
        <v>0</v>
      </c>
      <c r="T110" s="23">
        <f t="shared" si="167"/>
        <v>0</v>
      </c>
      <c r="U110" s="23">
        <f t="shared" si="167"/>
        <v>0</v>
      </c>
      <c r="V110" s="23">
        <f t="shared" si="167"/>
        <v>45134</v>
      </c>
      <c r="W110" s="23">
        <f t="shared" si="167"/>
        <v>18800</v>
      </c>
      <c r="X110" s="23">
        <f t="shared" si="167"/>
        <v>0</v>
      </c>
      <c r="Y110" s="23">
        <f t="shared" si="167"/>
        <v>0</v>
      </c>
      <c r="Z110" s="23">
        <f t="shared" si="167"/>
        <v>18800</v>
      </c>
      <c r="AA110" s="23">
        <f t="shared" si="167"/>
        <v>63934</v>
      </c>
      <c r="AB110" s="23">
        <f t="shared" si="167"/>
        <v>21610</v>
      </c>
      <c r="AC110" s="23">
        <f t="shared" si="167"/>
        <v>451</v>
      </c>
      <c r="AD110" s="23">
        <f t="shared" si="167"/>
        <v>0</v>
      </c>
      <c r="AE110" s="637">
        <f t="shared" si="167"/>
        <v>85995</v>
      </c>
      <c r="AF110" s="641">
        <f t="shared" si="167"/>
        <v>-0.01</v>
      </c>
      <c r="AG110" s="24">
        <f t="shared" si="167"/>
        <v>0.17</v>
      </c>
      <c r="AH110" s="24">
        <f t="shared" si="167"/>
        <v>0</v>
      </c>
      <c r="AI110" s="24">
        <f t="shared" si="167"/>
        <v>0</v>
      </c>
      <c r="AJ110" s="24">
        <f t="shared" si="167"/>
        <v>0</v>
      </c>
      <c r="AK110" s="24">
        <f t="shared" si="167"/>
        <v>0</v>
      </c>
      <c r="AL110" s="642">
        <f t="shared" si="167"/>
        <v>0.16</v>
      </c>
      <c r="AM110" s="22">
        <f t="shared" si="167"/>
        <v>37647007</v>
      </c>
      <c r="AN110" s="23">
        <f t="shared" si="167"/>
        <v>27796606</v>
      </c>
      <c r="AO110" s="23">
        <f t="shared" si="167"/>
        <v>132425</v>
      </c>
      <c r="AP110" s="23">
        <f t="shared" si="167"/>
        <v>9440011</v>
      </c>
      <c r="AQ110" s="23">
        <f t="shared" si="167"/>
        <v>277965</v>
      </c>
      <c r="AR110" s="23">
        <f t="shared" si="167"/>
        <v>0</v>
      </c>
      <c r="AS110" s="642">
        <f t="shared" si="167"/>
        <v>48.864599999999996</v>
      </c>
    </row>
    <row r="111" spans="1:45" customFormat="1" x14ac:dyDescent="0.25">
      <c r="D111" s="20"/>
      <c r="E111" s="21"/>
      <c r="F111" s="61"/>
      <c r="G111" s="37"/>
      <c r="H111" s="2">
        <v>3122</v>
      </c>
      <c r="I111" s="370">
        <f t="shared" ref="I111:AS111" si="168">SUMIF($F$12:$F$118,"=3122",I$12:I$118)</f>
        <v>0</v>
      </c>
      <c r="J111" s="14">
        <f t="shared" si="168"/>
        <v>0</v>
      </c>
      <c r="K111" s="14">
        <f t="shared" si="168"/>
        <v>0</v>
      </c>
      <c r="L111" s="14">
        <f t="shared" si="168"/>
        <v>0</v>
      </c>
      <c r="M111" s="14">
        <f t="shared" si="168"/>
        <v>0</v>
      </c>
      <c r="N111" s="14">
        <f t="shared" si="168"/>
        <v>0</v>
      </c>
      <c r="O111" s="633">
        <f t="shared" si="168"/>
        <v>0</v>
      </c>
      <c r="P111" s="34">
        <f t="shared" si="168"/>
        <v>0</v>
      </c>
      <c r="Q111" s="23">
        <f t="shared" si="168"/>
        <v>0</v>
      </c>
      <c r="R111" s="23">
        <f t="shared" si="168"/>
        <v>0</v>
      </c>
      <c r="S111" s="23">
        <f t="shared" si="168"/>
        <v>0</v>
      </c>
      <c r="T111" s="23">
        <f t="shared" si="168"/>
        <v>0</v>
      </c>
      <c r="U111" s="23">
        <f t="shared" si="168"/>
        <v>0</v>
      </c>
      <c r="V111" s="23">
        <f t="shared" si="168"/>
        <v>0</v>
      </c>
      <c r="W111" s="23">
        <f t="shared" si="168"/>
        <v>0</v>
      </c>
      <c r="X111" s="23">
        <f t="shared" si="168"/>
        <v>0</v>
      </c>
      <c r="Y111" s="23">
        <f t="shared" si="168"/>
        <v>0</v>
      </c>
      <c r="Z111" s="23">
        <f t="shared" si="168"/>
        <v>0</v>
      </c>
      <c r="AA111" s="23">
        <f t="shared" si="168"/>
        <v>0</v>
      </c>
      <c r="AB111" s="23">
        <f t="shared" si="168"/>
        <v>0</v>
      </c>
      <c r="AC111" s="23">
        <f t="shared" si="168"/>
        <v>0</v>
      </c>
      <c r="AD111" s="23">
        <f t="shared" si="168"/>
        <v>0</v>
      </c>
      <c r="AE111" s="637">
        <f t="shared" si="168"/>
        <v>0</v>
      </c>
      <c r="AF111" s="641">
        <f t="shared" si="168"/>
        <v>0</v>
      </c>
      <c r="AG111" s="24">
        <f t="shared" si="168"/>
        <v>0</v>
      </c>
      <c r="AH111" s="24">
        <f t="shared" si="168"/>
        <v>0</v>
      </c>
      <c r="AI111" s="24">
        <f t="shared" si="168"/>
        <v>0</v>
      </c>
      <c r="AJ111" s="24">
        <f t="shared" si="168"/>
        <v>0</v>
      </c>
      <c r="AK111" s="24">
        <f t="shared" si="168"/>
        <v>0</v>
      </c>
      <c r="AL111" s="642">
        <f t="shared" si="168"/>
        <v>0</v>
      </c>
      <c r="AM111" s="22">
        <f t="shared" si="168"/>
        <v>0</v>
      </c>
      <c r="AN111" s="23">
        <f t="shared" si="168"/>
        <v>0</v>
      </c>
      <c r="AO111" s="23">
        <f t="shared" si="168"/>
        <v>0</v>
      </c>
      <c r="AP111" s="23">
        <f t="shared" si="168"/>
        <v>0</v>
      </c>
      <c r="AQ111" s="23">
        <f t="shared" si="168"/>
        <v>0</v>
      </c>
      <c r="AR111" s="23">
        <f t="shared" si="168"/>
        <v>0</v>
      </c>
      <c r="AS111" s="642">
        <f t="shared" si="168"/>
        <v>0</v>
      </c>
    </row>
    <row r="112" spans="1:45" customFormat="1" ht="12.75" x14ac:dyDescent="0.2">
      <c r="C112" s="7"/>
      <c r="D112" s="20"/>
      <c r="E112" s="21"/>
      <c r="F112" s="20"/>
      <c r="G112" s="37"/>
      <c r="H112" s="2">
        <v>3124</v>
      </c>
      <c r="I112" s="370">
        <f t="shared" ref="I112:AS112" si="169">SUMIF($F$12:$F$118,"=3124",I$12:I$118)</f>
        <v>0</v>
      </c>
      <c r="J112" s="14">
        <f t="shared" si="169"/>
        <v>0</v>
      </c>
      <c r="K112" s="14">
        <f t="shared" si="169"/>
        <v>0</v>
      </c>
      <c r="L112" s="14">
        <f t="shared" si="169"/>
        <v>0</v>
      </c>
      <c r="M112" s="14">
        <f t="shared" si="169"/>
        <v>0</v>
      </c>
      <c r="N112" s="14">
        <f t="shared" si="169"/>
        <v>0</v>
      </c>
      <c r="O112" s="633">
        <f t="shared" si="169"/>
        <v>0</v>
      </c>
      <c r="P112" s="34">
        <f t="shared" si="169"/>
        <v>0</v>
      </c>
      <c r="Q112" s="23">
        <f t="shared" si="169"/>
        <v>0</v>
      </c>
      <c r="R112" s="23">
        <f t="shared" si="169"/>
        <v>0</v>
      </c>
      <c r="S112" s="23">
        <f t="shared" si="169"/>
        <v>0</v>
      </c>
      <c r="T112" s="23">
        <f t="shared" si="169"/>
        <v>0</v>
      </c>
      <c r="U112" s="23">
        <f t="shared" si="169"/>
        <v>0</v>
      </c>
      <c r="V112" s="23">
        <f t="shared" si="169"/>
        <v>0</v>
      </c>
      <c r="W112" s="23">
        <f t="shared" si="169"/>
        <v>0</v>
      </c>
      <c r="X112" s="23">
        <f t="shared" si="169"/>
        <v>0</v>
      </c>
      <c r="Y112" s="23">
        <f t="shared" si="169"/>
        <v>0</v>
      </c>
      <c r="Z112" s="23">
        <f t="shared" si="169"/>
        <v>0</v>
      </c>
      <c r="AA112" s="23">
        <f t="shared" si="169"/>
        <v>0</v>
      </c>
      <c r="AB112" s="23">
        <f t="shared" si="169"/>
        <v>0</v>
      </c>
      <c r="AC112" s="23">
        <f t="shared" si="169"/>
        <v>0</v>
      </c>
      <c r="AD112" s="23">
        <f t="shared" si="169"/>
        <v>0</v>
      </c>
      <c r="AE112" s="637">
        <f t="shared" si="169"/>
        <v>0</v>
      </c>
      <c r="AF112" s="641">
        <f t="shared" si="169"/>
        <v>0</v>
      </c>
      <c r="AG112" s="24">
        <f t="shared" si="169"/>
        <v>0</v>
      </c>
      <c r="AH112" s="24">
        <f t="shared" si="169"/>
        <v>0</v>
      </c>
      <c r="AI112" s="24">
        <f t="shared" si="169"/>
        <v>0</v>
      </c>
      <c r="AJ112" s="24">
        <f t="shared" si="169"/>
        <v>0</v>
      </c>
      <c r="AK112" s="24">
        <f t="shared" si="169"/>
        <v>0</v>
      </c>
      <c r="AL112" s="642">
        <f t="shared" si="169"/>
        <v>0</v>
      </c>
      <c r="AM112" s="22">
        <f t="shared" si="169"/>
        <v>0</v>
      </c>
      <c r="AN112" s="23">
        <f t="shared" si="169"/>
        <v>0</v>
      </c>
      <c r="AO112" s="23">
        <f t="shared" si="169"/>
        <v>0</v>
      </c>
      <c r="AP112" s="23">
        <f t="shared" si="169"/>
        <v>0</v>
      </c>
      <c r="AQ112" s="23">
        <f t="shared" si="169"/>
        <v>0</v>
      </c>
      <c r="AR112" s="23">
        <f t="shared" si="169"/>
        <v>0</v>
      </c>
      <c r="AS112" s="642">
        <f t="shared" si="169"/>
        <v>0</v>
      </c>
    </row>
    <row r="113" spans="1:45" customFormat="1" ht="12.75" x14ac:dyDescent="0.2">
      <c r="D113" s="20"/>
      <c r="E113" s="21"/>
      <c r="F113" s="21"/>
      <c r="G113" s="37"/>
      <c r="H113" s="2">
        <v>3141</v>
      </c>
      <c r="I113" s="370">
        <f t="shared" ref="I113:AS113" si="170">SUMIF($F$12:$F$118,"=3141",I$12:I$118)</f>
        <v>0</v>
      </c>
      <c r="J113" s="14">
        <f t="shared" si="170"/>
        <v>0</v>
      </c>
      <c r="K113" s="14">
        <f t="shared" si="170"/>
        <v>0</v>
      </c>
      <c r="L113" s="14">
        <f t="shared" si="170"/>
        <v>0</v>
      </c>
      <c r="M113" s="14">
        <f t="shared" si="170"/>
        <v>0</v>
      </c>
      <c r="N113" s="14">
        <f t="shared" si="170"/>
        <v>0</v>
      </c>
      <c r="O113" s="633">
        <f t="shared" si="170"/>
        <v>0</v>
      </c>
      <c r="P113" s="34">
        <f t="shared" si="170"/>
        <v>0</v>
      </c>
      <c r="Q113" s="23">
        <f t="shared" si="170"/>
        <v>0</v>
      </c>
      <c r="R113" s="23">
        <f t="shared" si="170"/>
        <v>0</v>
      </c>
      <c r="S113" s="23">
        <f t="shared" si="170"/>
        <v>0</v>
      </c>
      <c r="T113" s="23">
        <f t="shared" si="170"/>
        <v>0</v>
      </c>
      <c r="U113" s="23">
        <f t="shared" si="170"/>
        <v>0</v>
      </c>
      <c r="V113" s="23">
        <f t="shared" si="170"/>
        <v>0</v>
      </c>
      <c r="W113" s="23">
        <f t="shared" si="170"/>
        <v>0</v>
      </c>
      <c r="X113" s="23">
        <f t="shared" si="170"/>
        <v>0</v>
      </c>
      <c r="Y113" s="23">
        <f t="shared" si="170"/>
        <v>0</v>
      </c>
      <c r="Z113" s="23">
        <f t="shared" si="170"/>
        <v>0</v>
      </c>
      <c r="AA113" s="23">
        <f t="shared" si="170"/>
        <v>0</v>
      </c>
      <c r="AB113" s="23">
        <f t="shared" si="170"/>
        <v>0</v>
      </c>
      <c r="AC113" s="23">
        <f t="shared" si="170"/>
        <v>0</v>
      </c>
      <c r="AD113" s="23">
        <f t="shared" si="170"/>
        <v>0</v>
      </c>
      <c r="AE113" s="637">
        <f t="shared" si="170"/>
        <v>0</v>
      </c>
      <c r="AF113" s="641">
        <f t="shared" si="170"/>
        <v>0</v>
      </c>
      <c r="AG113" s="24">
        <f t="shared" si="170"/>
        <v>0</v>
      </c>
      <c r="AH113" s="24">
        <f t="shared" si="170"/>
        <v>0</v>
      </c>
      <c r="AI113" s="24">
        <f t="shared" si="170"/>
        <v>0</v>
      </c>
      <c r="AJ113" s="24">
        <f t="shared" si="170"/>
        <v>0</v>
      </c>
      <c r="AK113" s="24">
        <f t="shared" si="170"/>
        <v>0</v>
      </c>
      <c r="AL113" s="642">
        <f t="shared" si="170"/>
        <v>0</v>
      </c>
      <c r="AM113" s="22">
        <f t="shared" si="170"/>
        <v>0</v>
      </c>
      <c r="AN113" s="23">
        <f t="shared" si="170"/>
        <v>0</v>
      </c>
      <c r="AO113" s="23">
        <f t="shared" si="170"/>
        <v>0</v>
      </c>
      <c r="AP113" s="23">
        <f t="shared" si="170"/>
        <v>0</v>
      </c>
      <c r="AQ113" s="23">
        <f t="shared" si="170"/>
        <v>0</v>
      </c>
      <c r="AR113" s="23">
        <f t="shared" si="170"/>
        <v>0</v>
      </c>
      <c r="AS113" s="642">
        <f t="shared" si="170"/>
        <v>0</v>
      </c>
    </row>
    <row r="114" spans="1:45" customFormat="1" ht="12.75" x14ac:dyDescent="0.2">
      <c r="C114" s="7"/>
      <c r="D114" s="20"/>
      <c r="E114" s="21"/>
      <c r="F114" s="20"/>
      <c r="G114" s="37"/>
      <c r="H114" s="2">
        <v>3143</v>
      </c>
      <c r="I114" s="370">
        <f t="shared" ref="I114:AS114" si="171">SUMIF($F$12:$F$118,"=3143",I$12:I$118)</f>
        <v>17964838</v>
      </c>
      <c r="J114" s="14">
        <f t="shared" si="171"/>
        <v>13258544</v>
      </c>
      <c r="K114" s="14">
        <f t="shared" si="171"/>
        <v>69000</v>
      </c>
      <c r="L114" s="14">
        <f t="shared" si="171"/>
        <v>4504709</v>
      </c>
      <c r="M114" s="14">
        <f t="shared" si="171"/>
        <v>132585</v>
      </c>
      <c r="N114" s="14">
        <f t="shared" si="171"/>
        <v>0</v>
      </c>
      <c r="O114" s="633">
        <f t="shared" si="171"/>
        <v>25.714300000000005</v>
      </c>
      <c r="P114" s="34">
        <f t="shared" si="171"/>
        <v>-46000</v>
      </c>
      <c r="Q114" s="23">
        <f t="shared" si="171"/>
        <v>0</v>
      </c>
      <c r="R114" s="23">
        <f t="shared" si="171"/>
        <v>0</v>
      </c>
      <c r="S114" s="23">
        <f t="shared" si="171"/>
        <v>0</v>
      </c>
      <c r="T114" s="23">
        <f t="shared" si="171"/>
        <v>0</v>
      </c>
      <c r="U114" s="23">
        <f t="shared" si="171"/>
        <v>0</v>
      </c>
      <c r="V114" s="23">
        <f t="shared" si="171"/>
        <v>-46000</v>
      </c>
      <c r="W114" s="23">
        <f t="shared" si="171"/>
        <v>46000</v>
      </c>
      <c r="X114" s="23">
        <f t="shared" si="171"/>
        <v>0</v>
      </c>
      <c r="Y114" s="23">
        <f t="shared" si="171"/>
        <v>0</v>
      </c>
      <c r="Z114" s="23">
        <f t="shared" si="171"/>
        <v>46000</v>
      </c>
      <c r="AA114" s="23">
        <f t="shared" si="171"/>
        <v>0</v>
      </c>
      <c r="AB114" s="23">
        <f t="shared" si="171"/>
        <v>0</v>
      </c>
      <c r="AC114" s="23">
        <f t="shared" si="171"/>
        <v>-460</v>
      </c>
      <c r="AD114" s="23">
        <f t="shared" si="171"/>
        <v>0</v>
      </c>
      <c r="AE114" s="637">
        <f t="shared" si="171"/>
        <v>-460</v>
      </c>
      <c r="AF114" s="641">
        <f t="shared" si="171"/>
        <v>0</v>
      </c>
      <c r="AG114" s="24">
        <f t="shared" si="171"/>
        <v>0</v>
      </c>
      <c r="AH114" s="24">
        <f t="shared" si="171"/>
        <v>0</v>
      </c>
      <c r="AI114" s="24">
        <f t="shared" si="171"/>
        <v>0</v>
      </c>
      <c r="AJ114" s="24">
        <f t="shared" si="171"/>
        <v>0</v>
      </c>
      <c r="AK114" s="24">
        <f t="shared" si="171"/>
        <v>0</v>
      </c>
      <c r="AL114" s="642">
        <f t="shared" si="171"/>
        <v>0</v>
      </c>
      <c r="AM114" s="22">
        <f t="shared" si="171"/>
        <v>17964378</v>
      </c>
      <c r="AN114" s="23">
        <f t="shared" si="171"/>
        <v>13212544</v>
      </c>
      <c r="AO114" s="23">
        <f t="shared" si="171"/>
        <v>115000</v>
      </c>
      <c r="AP114" s="23">
        <f t="shared" si="171"/>
        <v>4504709</v>
      </c>
      <c r="AQ114" s="23">
        <f t="shared" si="171"/>
        <v>132125</v>
      </c>
      <c r="AR114" s="23">
        <f t="shared" si="171"/>
        <v>0</v>
      </c>
      <c r="AS114" s="642">
        <f t="shared" si="171"/>
        <v>25.714300000000005</v>
      </c>
    </row>
    <row r="115" spans="1:45" customFormat="1" ht="12.75" x14ac:dyDescent="0.2">
      <c r="D115" s="20"/>
      <c r="E115" s="21"/>
      <c r="F115" s="20"/>
      <c r="G115" s="37"/>
      <c r="H115" s="2">
        <v>3231</v>
      </c>
      <c r="I115" s="370">
        <f t="shared" ref="I115:AS115" si="172">SUMIF($F$12:$F$118,"=3231",I$12:I$118)</f>
        <v>15537600</v>
      </c>
      <c r="J115" s="14">
        <f t="shared" si="172"/>
        <v>11463877</v>
      </c>
      <c r="K115" s="14">
        <f t="shared" si="172"/>
        <v>63000</v>
      </c>
      <c r="L115" s="14">
        <f t="shared" si="172"/>
        <v>3896085</v>
      </c>
      <c r="M115" s="14">
        <f t="shared" si="172"/>
        <v>114638</v>
      </c>
      <c r="N115" s="14">
        <f t="shared" si="172"/>
        <v>0</v>
      </c>
      <c r="O115" s="633">
        <f t="shared" si="172"/>
        <v>17.192399999999999</v>
      </c>
      <c r="P115" s="34">
        <f t="shared" si="172"/>
        <v>-42000</v>
      </c>
      <c r="Q115" s="23">
        <f t="shared" si="172"/>
        <v>0</v>
      </c>
      <c r="R115" s="23">
        <f t="shared" si="172"/>
        <v>0</v>
      </c>
      <c r="S115" s="23">
        <f t="shared" si="172"/>
        <v>0</v>
      </c>
      <c r="T115" s="23">
        <f t="shared" si="172"/>
        <v>0</v>
      </c>
      <c r="U115" s="23">
        <f t="shared" si="172"/>
        <v>0</v>
      </c>
      <c r="V115" s="23">
        <f t="shared" si="172"/>
        <v>-42000</v>
      </c>
      <c r="W115" s="23">
        <f t="shared" si="172"/>
        <v>42000</v>
      </c>
      <c r="X115" s="23">
        <f t="shared" si="172"/>
        <v>0</v>
      </c>
      <c r="Y115" s="23">
        <f t="shared" si="172"/>
        <v>0</v>
      </c>
      <c r="Z115" s="23">
        <f t="shared" si="172"/>
        <v>42000</v>
      </c>
      <c r="AA115" s="23">
        <f t="shared" si="172"/>
        <v>0</v>
      </c>
      <c r="AB115" s="23">
        <f t="shared" si="172"/>
        <v>0</v>
      </c>
      <c r="AC115" s="23">
        <f t="shared" si="172"/>
        <v>-420</v>
      </c>
      <c r="AD115" s="23">
        <f t="shared" si="172"/>
        <v>0</v>
      </c>
      <c r="AE115" s="637">
        <f t="shared" si="172"/>
        <v>-420</v>
      </c>
      <c r="AF115" s="641">
        <f t="shared" si="172"/>
        <v>-0.03</v>
      </c>
      <c r="AG115" s="24">
        <f t="shared" si="172"/>
        <v>0</v>
      </c>
      <c r="AH115" s="24">
        <f t="shared" si="172"/>
        <v>0</v>
      </c>
      <c r="AI115" s="24">
        <f t="shared" si="172"/>
        <v>0</v>
      </c>
      <c r="AJ115" s="24">
        <f t="shared" si="172"/>
        <v>0</v>
      </c>
      <c r="AK115" s="24">
        <f t="shared" si="172"/>
        <v>0</v>
      </c>
      <c r="AL115" s="642">
        <f t="shared" si="172"/>
        <v>-0.03</v>
      </c>
      <c r="AM115" s="22">
        <f t="shared" si="172"/>
        <v>15537180</v>
      </c>
      <c r="AN115" s="23">
        <f t="shared" si="172"/>
        <v>11421877</v>
      </c>
      <c r="AO115" s="23">
        <f t="shared" si="172"/>
        <v>105000</v>
      </c>
      <c r="AP115" s="23">
        <f t="shared" si="172"/>
        <v>3896085</v>
      </c>
      <c r="AQ115" s="23">
        <f t="shared" si="172"/>
        <v>114218</v>
      </c>
      <c r="AR115" s="23">
        <f t="shared" si="172"/>
        <v>0</v>
      </c>
      <c r="AS115" s="642">
        <f t="shared" si="172"/>
        <v>17.162399999999998</v>
      </c>
    </row>
    <row r="116" spans="1:45" customFormat="1" ht="13.5" thickBot="1" x14ac:dyDescent="0.25">
      <c r="D116" s="20"/>
      <c r="E116" s="21"/>
      <c r="F116" s="20"/>
      <c r="G116" s="37"/>
      <c r="H116" s="103">
        <v>3233</v>
      </c>
      <c r="I116" s="826">
        <f t="shared" ref="I116:AS116" si="173">SUMIF($F$12:$F$118,"=3233",I$12:I$118)</f>
        <v>2990519</v>
      </c>
      <c r="J116" s="123">
        <f t="shared" si="173"/>
        <v>2218486</v>
      </c>
      <c r="K116" s="123">
        <f t="shared" si="173"/>
        <v>0</v>
      </c>
      <c r="L116" s="123">
        <f t="shared" si="173"/>
        <v>749848</v>
      </c>
      <c r="M116" s="123">
        <f t="shared" si="173"/>
        <v>22185</v>
      </c>
      <c r="N116" s="123">
        <f t="shared" si="173"/>
        <v>0</v>
      </c>
      <c r="O116" s="635">
        <f t="shared" si="173"/>
        <v>3.75</v>
      </c>
      <c r="P116" s="102">
        <f t="shared" si="173"/>
        <v>-400000</v>
      </c>
      <c r="Q116" s="26">
        <f t="shared" si="173"/>
        <v>0</v>
      </c>
      <c r="R116" s="26">
        <f t="shared" si="173"/>
        <v>0</v>
      </c>
      <c r="S116" s="26">
        <f t="shared" si="173"/>
        <v>0</v>
      </c>
      <c r="T116" s="26">
        <f t="shared" si="173"/>
        <v>0</v>
      </c>
      <c r="U116" s="26">
        <f t="shared" si="173"/>
        <v>0</v>
      </c>
      <c r="V116" s="26">
        <f t="shared" si="173"/>
        <v>-400000</v>
      </c>
      <c r="W116" s="26">
        <f t="shared" si="173"/>
        <v>400000</v>
      </c>
      <c r="X116" s="26">
        <f t="shared" si="173"/>
        <v>0</v>
      </c>
      <c r="Y116" s="26">
        <f t="shared" si="173"/>
        <v>0</v>
      </c>
      <c r="Z116" s="26">
        <f t="shared" si="173"/>
        <v>400000</v>
      </c>
      <c r="AA116" s="26">
        <f t="shared" si="173"/>
        <v>0</v>
      </c>
      <c r="AB116" s="26">
        <f t="shared" si="173"/>
        <v>0</v>
      </c>
      <c r="AC116" s="26">
        <f t="shared" si="173"/>
        <v>-4000</v>
      </c>
      <c r="AD116" s="26">
        <f t="shared" si="173"/>
        <v>0</v>
      </c>
      <c r="AE116" s="638">
        <f t="shared" si="173"/>
        <v>-4000</v>
      </c>
      <c r="AF116" s="643">
        <f t="shared" si="173"/>
        <v>-0.69</v>
      </c>
      <c r="AG116" s="97">
        <f t="shared" si="173"/>
        <v>0</v>
      </c>
      <c r="AH116" s="97">
        <f t="shared" si="173"/>
        <v>0</v>
      </c>
      <c r="AI116" s="97">
        <f t="shared" si="173"/>
        <v>0</v>
      </c>
      <c r="AJ116" s="97">
        <f t="shared" si="173"/>
        <v>0</v>
      </c>
      <c r="AK116" s="97">
        <f t="shared" si="173"/>
        <v>0</v>
      </c>
      <c r="AL116" s="644">
        <f t="shared" si="173"/>
        <v>-0.69</v>
      </c>
      <c r="AM116" s="25">
        <f t="shared" si="173"/>
        <v>2986519</v>
      </c>
      <c r="AN116" s="26">
        <f t="shared" si="173"/>
        <v>1818486</v>
      </c>
      <c r="AO116" s="26">
        <f t="shared" si="173"/>
        <v>400000</v>
      </c>
      <c r="AP116" s="26">
        <f t="shared" si="173"/>
        <v>749848</v>
      </c>
      <c r="AQ116" s="26">
        <f t="shared" si="173"/>
        <v>18185</v>
      </c>
      <c r="AR116" s="26">
        <f t="shared" si="173"/>
        <v>0</v>
      </c>
      <c r="AS116" s="644">
        <f t="shared" si="173"/>
        <v>3.0599999999999996</v>
      </c>
    </row>
    <row r="118" spans="1:45" s="49" customFormat="1" x14ac:dyDescent="0.25">
      <c r="A118" s="61"/>
      <c r="B118" s="60"/>
      <c r="C118" s="60"/>
      <c r="D118" s="60"/>
      <c r="E118" s="61"/>
      <c r="F118" s="84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AF118" s="50"/>
      <c r="AG118" s="50"/>
      <c r="AH118" s="50"/>
      <c r="AI118" s="50"/>
      <c r="AJ118" s="50"/>
      <c r="AK118" s="50"/>
      <c r="AL118" s="50"/>
      <c r="AS118" s="50"/>
    </row>
    <row r="119" spans="1:45" x14ac:dyDescent="0.25">
      <c r="I119" s="61"/>
      <c r="J119" s="61"/>
      <c r="K119" s="61"/>
      <c r="L119" s="61"/>
      <c r="M119" s="61"/>
      <c r="N119" s="61"/>
      <c r="O119" s="61"/>
      <c r="P119" s="61"/>
    </row>
    <row r="120" spans="1:45" x14ac:dyDescent="0.25"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45" x14ac:dyDescent="0.25"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45" x14ac:dyDescent="0.25">
      <c r="E122" s="60"/>
      <c r="F122" s="60"/>
      <c r="G122" s="60"/>
      <c r="H122" s="60"/>
      <c r="J122" s="60"/>
      <c r="K122" s="60"/>
      <c r="L122" s="60"/>
      <c r="M122" s="60"/>
      <c r="N122" s="60"/>
      <c r="O122" s="50"/>
      <c r="P122" s="60"/>
      <c r="Q122" s="60"/>
      <c r="R122" s="60"/>
      <c r="S122" s="60"/>
      <c r="T122" s="60"/>
    </row>
    <row r="123" spans="1:45" x14ac:dyDescent="0.25">
      <c r="E123" s="60"/>
      <c r="F123" s="60"/>
      <c r="G123" s="60"/>
      <c r="H123" s="60"/>
      <c r="J123" s="60"/>
      <c r="K123" s="60"/>
      <c r="L123" s="60"/>
      <c r="M123" s="60"/>
      <c r="N123" s="60"/>
      <c r="O123" s="50"/>
      <c r="P123" s="60"/>
      <c r="Q123" s="60"/>
      <c r="R123" s="60"/>
      <c r="S123" s="60"/>
      <c r="T123" s="60"/>
    </row>
    <row r="124" spans="1:45" x14ac:dyDescent="0.25">
      <c r="E124" s="60"/>
      <c r="F124" s="60"/>
      <c r="G124" s="60"/>
      <c r="H124" s="60"/>
      <c r="J124" s="60"/>
      <c r="K124" s="60"/>
      <c r="L124" s="60"/>
      <c r="M124" s="60"/>
      <c r="N124" s="60"/>
      <c r="O124" s="50"/>
      <c r="P124" s="60"/>
      <c r="Q124" s="60"/>
      <c r="R124" s="60"/>
      <c r="S124" s="60"/>
      <c r="T124" s="60"/>
    </row>
    <row r="125" spans="1:45" x14ac:dyDescent="0.25">
      <c r="E125" s="60"/>
      <c r="F125" s="60"/>
      <c r="G125" s="60"/>
      <c r="H125" s="60"/>
      <c r="J125" s="60"/>
      <c r="K125" s="60"/>
      <c r="L125" s="60"/>
      <c r="M125" s="60"/>
      <c r="N125" s="60"/>
      <c r="O125" s="50"/>
      <c r="P125" s="60"/>
      <c r="Q125" s="60"/>
      <c r="R125" s="60"/>
      <c r="S125" s="60"/>
      <c r="T125" s="60"/>
    </row>
    <row r="126" spans="1:45" x14ac:dyDescent="0.25">
      <c r="E126" s="60"/>
      <c r="F126" s="60"/>
      <c r="G126" s="60"/>
      <c r="H126" s="60"/>
      <c r="J126" s="60"/>
      <c r="K126" s="60"/>
      <c r="L126" s="60"/>
      <c r="M126" s="60"/>
      <c r="N126" s="60"/>
      <c r="O126" s="50"/>
      <c r="P126" s="60"/>
      <c r="Q126" s="60"/>
      <c r="R126" s="60"/>
      <c r="S126" s="60"/>
      <c r="T126" s="60"/>
    </row>
    <row r="127" spans="1:45" x14ac:dyDescent="0.25">
      <c r="E127" s="60"/>
      <c r="F127" s="60"/>
      <c r="G127" s="60"/>
      <c r="H127" s="60"/>
      <c r="J127" s="60"/>
      <c r="K127" s="60"/>
      <c r="L127" s="60"/>
      <c r="M127" s="60"/>
      <c r="N127" s="60"/>
      <c r="O127" s="50"/>
      <c r="P127" s="60"/>
      <c r="Q127" s="60"/>
      <c r="R127" s="60"/>
      <c r="S127" s="60"/>
      <c r="T127" s="60"/>
    </row>
    <row r="128" spans="1:45" x14ac:dyDescent="0.25">
      <c r="E128" s="60"/>
      <c r="F128" s="60"/>
      <c r="G128" s="60"/>
      <c r="H128" s="60"/>
      <c r="J128" s="60"/>
      <c r="K128" s="60"/>
      <c r="L128" s="60"/>
      <c r="M128" s="60"/>
      <c r="N128" s="60"/>
      <c r="O128" s="50"/>
      <c r="P128" s="60"/>
      <c r="Q128" s="60"/>
      <c r="R128" s="60"/>
      <c r="S128" s="60"/>
      <c r="T128" s="60"/>
    </row>
    <row r="129" spans="5:20" x14ac:dyDescent="0.25">
      <c r="E129" s="60"/>
      <c r="F129" s="60"/>
      <c r="G129" s="60"/>
      <c r="H129" s="60"/>
      <c r="J129" s="60"/>
      <c r="K129" s="60"/>
      <c r="L129" s="60"/>
      <c r="M129" s="60"/>
      <c r="N129" s="60"/>
      <c r="O129" s="50"/>
      <c r="P129" s="60"/>
      <c r="Q129" s="60"/>
      <c r="R129" s="60"/>
      <c r="S129" s="60"/>
      <c r="T129" s="60"/>
    </row>
    <row r="130" spans="5:20" x14ac:dyDescent="0.25">
      <c r="E130" s="60"/>
      <c r="F130" s="60"/>
      <c r="G130" s="60"/>
      <c r="H130" s="60"/>
      <c r="J130" s="60"/>
      <c r="K130" s="60"/>
      <c r="L130" s="60"/>
      <c r="M130" s="60"/>
      <c r="N130" s="60"/>
      <c r="O130" s="50"/>
      <c r="P130" s="60"/>
      <c r="Q130" s="60"/>
      <c r="R130" s="60"/>
      <c r="S130" s="60"/>
      <c r="T130" s="60"/>
    </row>
    <row r="131" spans="5:20" x14ac:dyDescent="0.25">
      <c r="E131" s="60"/>
      <c r="F131" s="60"/>
      <c r="G131" s="60"/>
      <c r="H131" s="60"/>
      <c r="J131" s="60"/>
      <c r="K131" s="60"/>
      <c r="L131" s="60"/>
      <c r="M131" s="60"/>
      <c r="N131" s="60"/>
      <c r="O131" s="50"/>
      <c r="P131" s="60"/>
      <c r="Q131" s="60"/>
      <c r="R131" s="60"/>
      <c r="S131" s="60"/>
      <c r="T131" s="60"/>
    </row>
    <row r="132" spans="5:20" x14ac:dyDescent="0.25">
      <c r="E132" s="60"/>
      <c r="F132" s="60"/>
      <c r="G132" s="60"/>
      <c r="H132" s="60"/>
      <c r="J132" s="60"/>
      <c r="K132" s="60"/>
      <c r="L132" s="60"/>
      <c r="M132" s="60"/>
      <c r="N132" s="60"/>
      <c r="O132" s="50"/>
      <c r="P132" s="60"/>
      <c r="Q132" s="60"/>
      <c r="R132" s="60"/>
      <c r="S132" s="60"/>
      <c r="T132" s="60"/>
    </row>
    <row r="133" spans="5:20" x14ac:dyDescent="0.25">
      <c r="E133" s="60"/>
      <c r="F133" s="60"/>
      <c r="G133" s="60"/>
      <c r="H133" s="60"/>
      <c r="J133" s="60"/>
      <c r="K133" s="60"/>
      <c r="L133" s="60"/>
      <c r="M133" s="60"/>
      <c r="N133" s="60"/>
      <c r="O133" s="50"/>
      <c r="P133" s="60"/>
      <c r="Q133" s="60"/>
      <c r="R133" s="60"/>
      <c r="S133" s="60"/>
      <c r="T133" s="60"/>
    </row>
    <row r="134" spans="5:20" x14ac:dyDescent="0.25">
      <c r="E134" s="60"/>
      <c r="F134" s="60"/>
      <c r="G134" s="60"/>
      <c r="H134" s="60"/>
      <c r="J134" s="60"/>
      <c r="K134" s="60"/>
      <c r="L134" s="60"/>
      <c r="M134" s="60"/>
      <c r="N134" s="60"/>
      <c r="O134" s="50"/>
      <c r="P134" s="60"/>
      <c r="Q134" s="60"/>
      <c r="R134" s="60"/>
      <c r="S134" s="60"/>
      <c r="T134" s="60"/>
    </row>
    <row r="136" spans="5:20" x14ac:dyDescent="0.25">
      <c r="O136" s="167"/>
    </row>
    <row r="137" spans="5:20" x14ac:dyDescent="0.25">
      <c r="O137" s="167"/>
    </row>
    <row r="138" spans="5:20" x14ac:dyDescent="0.25">
      <c r="O138" s="167"/>
    </row>
    <row r="139" spans="5:20" x14ac:dyDescent="0.25">
      <c r="O139" s="167"/>
    </row>
    <row r="140" spans="5:20" x14ac:dyDescent="0.25">
      <c r="O140" s="167"/>
    </row>
    <row r="141" spans="5:20" x14ac:dyDescent="0.25">
      <c r="O141" s="167"/>
    </row>
    <row r="142" spans="5:20" x14ac:dyDescent="0.25">
      <c r="O142" s="167"/>
    </row>
    <row r="143" spans="5:20" x14ac:dyDescent="0.25">
      <c r="O143" s="167"/>
    </row>
    <row r="144" spans="5:20" x14ac:dyDescent="0.25">
      <c r="O144" s="167"/>
    </row>
    <row r="145" spans="15:15" x14ac:dyDescent="0.25">
      <c r="O145" s="167"/>
    </row>
    <row r="146" spans="15:15" x14ac:dyDescent="0.25">
      <c r="O146" s="167"/>
    </row>
    <row r="147" spans="15:15" x14ac:dyDescent="0.25">
      <c r="O147" s="167"/>
    </row>
    <row r="148" spans="15:15" x14ac:dyDescent="0.25">
      <c r="O148" s="167"/>
    </row>
    <row r="149" spans="15:15" x14ac:dyDescent="0.25">
      <c r="O149" s="167"/>
    </row>
    <row r="150" spans="15:15" x14ac:dyDescent="0.25">
      <c r="O150" s="167"/>
    </row>
    <row r="151" spans="15:15" x14ac:dyDescent="0.25">
      <c r="O151" s="167"/>
    </row>
    <row r="152" spans="15:15" x14ac:dyDescent="0.25">
      <c r="O152" s="167"/>
    </row>
    <row r="153" spans="15:15" x14ac:dyDescent="0.25">
      <c r="O153" s="167"/>
    </row>
    <row r="154" spans="15:15" x14ac:dyDescent="0.25">
      <c r="O154" s="167"/>
    </row>
  </sheetData>
  <mergeCells count="45">
    <mergeCell ref="AR9:AR10"/>
    <mergeCell ref="AL8:AL10"/>
    <mergeCell ref="AA7:AA10"/>
    <mergeCell ref="AF8:AF10"/>
    <mergeCell ref="AG8:AG10"/>
    <mergeCell ref="AH8:AH10"/>
    <mergeCell ref="AC7:AC10"/>
    <mergeCell ref="AE7:AE10"/>
    <mergeCell ref="AD7:AD10"/>
    <mergeCell ref="Q9:Q10"/>
    <mergeCell ref="R9:R10"/>
    <mergeCell ref="AI8:AI10"/>
    <mergeCell ref="AJ8:AJ10"/>
    <mergeCell ref="AK8:AK10"/>
    <mergeCell ref="W7:Z8"/>
    <mergeCell ref="W9:W10"/>
    <mergeCell ref="Y9:Y10"/>
    <mergeCell ref="Z9:Z10"/>
    <mergeCell ref="V9:V10"/>
    <mergeCell ref="X9:X10"/>
    <mergeCell ref="J9:J10"/>
    <mergeCell ref="L9:L10"/>
    <mergeCell ref="I6:O7"/>
    <mergeCell ref="J8:M8"/>
    <mergeCell ref="O8:O10"/>
    <mergeCell ref="I8:I10"/>
    <mergeCell ref="M9:M10"/>
    <mergeCell ref="N9:N10"/>
    <mergeCell ref="K9:K10"/>
    <mergeCell ref="P6:AL6"/>
    <mergeCell ref="AM6:AS7"/>
    <mergeCell ref="P7:V8"/>
    <mergeCell ref="AS8:AS10"/>
    <mergeCell ref="AN9:AN10"/>
    <mergeCell ref="AO9:AO10"/>
    <mergeCell ref="T9:T10"/>
    <mergeCell ref="AF7:AL7"/>
    <mergeCell ref="AQ9:AQ10"/>
    <mergeCell ref="AM8:AM10"/>
    <mergeCell ref="AN8:AQ8"/>
    <mergeCell ref="AB7:AB10"/>
    <mergeCell ref="AP9:AP10"/>
    <mergeCell ref="P9:P10"/>
    <mergeCell ref="S9:S10"/>
    <mergeCell ref="U9:U10"/>
  </mergeCells>
  <phoneticPr fontId="42" type="noConversion"/>
  <printOptions horizontalCentered="1"/>
  <pageMargins left="0.19685039370078741" right="0.19685039370078741" top="0.78740157480314965" bottom="0.78740157480314965" header="0.31496062992125984" footer="0.31496062992125984"/>
  <pageSetup paperSize="8" scale="63" fitToWidth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AS167"/>
  <sheetViews>
    <sheetView zoomScaleNormal="100" workbookViewId="0">
      <pane xSplit="8" ySplit="11" topLeftCell="AB132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9.28515625" customWidth="1"/>
    <col min="6" max="6" width="4.42578125" customWidth="1"/>
    <col min="7" max="7" width="10.5703125" customWidth="1"/>
    <col min="8" max="8" width="8" customWidth="1"/>
    <col min="9" max="9" width="12.28515625" style="7" customWidth="1"/>
    <col min="10" max="12" width="11.7109375" style="7" customWidth="1"/>
    <col min="13" max="14" width="11.42578125" style="7" customWidth="1"/>
    <col min="15" max="15" width="12.5703125" style="6" customWidth="1"/>
    <col min="16" max="16" width="10.28515625" style="7" customWidth="1"/>
    <col min="17" max="17" width="11.140625" style="7" customWidth="1"/>
    <col min="18" max="18" width="10.28515625" style="7" customWidth="1"/>
    <col min="19" max="19" width="10.5703125" style="7" customWidth="1"/>
    <col min="20" max="20" width="12.140625" style="7" customWidth="1"/>
    <col min="21" max="26" width="10.28515625" style="7" customWidth="1"/>
    <col min="27" max="27" width="11" style="6" customWidth="1"/>
    <col min="28" max="28" width="9.28515625" style="6" customWidth="1"/>
    <col min="29" max="29" width="9.140625" style="7" customWidth="1"/>
    <col min="30" max="30" width="10.28515625" style="7" customWidth="1"/>
    <col min="31" max="31" width="9.7109375" style="7" customWidth="1"/>
    <col min="32" max="33" width="9.140625" style="6" customWidth="1"/>
    <col min="34" max="34" width="10.140625" style="6" customWidth="1"/>
    <col min="35" max="35" width="9.28515625" style="6" customWidth="1"/>
    <col min="36" max="36" width="10.5703125" style="6" customWidth="1"/>
    <col min="37" max="37" width="10.42578125" style="6" customWidth="1"/>
    <col min="38" max="38" width="9.28515625" style="6" customWidth="1"/>
    <col min="39" max="39" width="13.42578125" style="6" customWidth="1"/>
    <col min="40" max="43" width="10.85546875" style="6" customWidth="1"/>
    <col min="44" max="44" width="11.85546875" style="6" customWidth="1"/>
    <col min="45" max="45" width="11.28515625" style="6" customWidth="1"/>
    <col min="140" max="140" width="6.85546875" customWidth="1"/>
    <col min="141" max="141" width="35" customWidth="1"/>
    <col min="142" max="142" width="8" customWidth="1"/>
    <col min="143" max="143" width="31.85546875" customWidth="1"/>
    <col min="144" max="144" width="12" customWidth="1"/>
    <col min="145" max="145" width="11.5703125" customWidth="1"/>
    <col min="146" max="146" width="12" customWidth="1"/>
    <col min="147" max="147" width="11.140625" customWidth="1"/>
    <col min="148" max="149" width="10" customWidth="1"/>
    <col min="152" max="152" width="10.7109375" customWidth="1"/>
    <col min="396" max="396" width="6.85546875" customWidth="1"/>
    <col min="397" max="397" width="35" customWidth="1"/>
    <col min="398" max="398" width="8" customWidth="1"/>
    <col min="399" max="399" width="31.85546875" customWidth="1"/>
    <col min="400" max="400" width="12" customWidth="1"/>
    <col min="401" max="401" width="11.5703125" customWidth="1"/>
    <col min="402" max="402" width="12" customWidth="1"/>
    <col min="403" max="403" width="11.140625" customWidth="1"/>
    <col min="404" max="405" width="10" customWidth="1"/>
    <col min="408" max="408" width="10.7109375" customWidth="1"/>
    <col min="652" max="652" width="6.85546875" customWidth="1"/>
    <col min="653" max="653" width="35" customWidth="1"/>
    <col min="654" max="654" width="8" customWidth="1"/>
    <col min="655" max="655" width="31.85546875" customWidth="1"/>
    <col min="656" max="656" width="12" customWidth="1"/>
    <col min="657" max="657" width="11.5703125" customWidth="1"/>
    <col min="658" max="658" width="12" customWidth="1"/>
    <col min="659" max="659" width="11.140625" customWidth="1"/>
    <col min="660" max="661" width="10" customWidth="1"/>
    <col min="664" max="664" width="10.7109375" customWidth="1"/>
    <col min="908" max="908" width="6.85546875" customWidth="1"/>
    <col min="909" max="909" width="35" customWidth="1"/>
    <col min="910" max="910" width="8" customWidth="1"/>
    <col min="911" max="911" width="31.85546875" customWidth="1"/>
    <col min="912" max="912" width="12" customWidth="1"/>
    <col min="913" max="913" width="11.5703125" customWidth="1"/>
    <col min="914" max="914" width="12" customWidth="1"/>
    <col min="915" max="915" width="11.140625" customWidth="1"/>
    <col min="916" max="917" width="10" customWidth="1"/>
    <col min="920" max="920" width="10.7109375" customWidth="1"/>
    <col min="1164" max="1164" width="6.85546875" customWidth="1"/>
    <col min="1165" max="1165" width="35" customWidth="1"/>
    <col min="1166" max="1166" width="8" customWidth="1"/>
    <col min="1167" max="1167" width="31.85546875" customWidth="1"/>
    <col min="1168" max="1168" width="12" customWidth="1"/>
    <col min="1169" max="1169" width="11.5703125" customWidth="1"/>
    <col min="1170" max="1170" width="12" customWidth="1"/>
    <col min="1171" max="1171" width="11.140625" customWidth="1"/>
    <col min="1172" max="1173" width="10" customWidth="1"/>
    <col min="1176" max="1176" width="10.7109375" customWidth="1"/>
    <col min="1420" max="1420" width="6.85546875" customWidth="1"/>
    <col min="1421" max="1421" width="35" customWidth="1"/>
    <col min="1422" max="1422" width="8" customWidth="1"/>
    <col min="1423" max="1423" width="31.85546875" customWidth="1"/>
    <col min="1424" max="1424" width="12" customWidth="1"/>
    <col min="1425" max="1425" width="11.5703125" customWidth="1"/>
    <col min="1426" max="1426" width="12" customWidth="1"/>
    <col min="1427" max="1427" width="11.140625" customWidth="1"/>
    <col min="1428" max="1429" width="10" customWidth="1"/>
    <col min="1432" max="1432" width="10.7109375" customWidth="1"/>
    <col min="1676" max="1676" width="6.85546875" customWidth="1"/>
    <col min="1677" max="1677" width="35" customWidth="1"/>
    <col min="1678" max="1678" width="8" customWidth="1"/>
    <col min="1679" max="1679" width="31.85546875" customWidth="1"/>
    <col min="1680" max="1680" width="12" customWidth="1"/>
    <col min="1681" max="1681" width="11.5703125" customWidth="1"/>
    <col min="1682" max="1682" width="12" customWidth="1"/>
    <col min="1683" max="1683" width="11.140625" customWidth="1"/>
    <col min="1684" max="1685" width="10" customWidth="1"/>
    <col min="1688" max="1688" width="10.7109375" customWidth="1"/>
    <col min="1932" max="1932" width="6.85546875" customWidth="1"/>
    <col min="1933" max="1933" width="35" customWidth="1"/>
    <col min="1934" max="1934" width="8" customWidth="1"/>
    <col min="1935" max="1935" width="31.85546875" customWidth="1"/>
    <col min="1936" max="1936" width="12" customWidth="1"/>
    <col min="1937" max="1937" width="11.5703125" customWidth="1"/>
    <col min="1938" max="1938" width="12" customWidth="1"/>
    <col min="1939" max="1939" width="11.140625" customWidth="1"/>
    <col min="1940" max="1941" width="10" customWidth="1"/>
    <col min="1944" max="1944" width="10.7109375" customWidth="1"/>
    <col min="2188" max="2188" width="6.85546875" customWidth="1"/>
    <col min="2189" max="2189" width="35" customWidth="1"/>
    <col min="2190" max="2190" width="8" customWidth="1"/>
    <col min="2191" max="2191" width="31.85546875" customWidth="1"/>
    <col min="2192" max="2192" width="12" customWidth="1"/>
    <col min="2193" max="2193" width="11.5703125" customWidth="1"/>
    <col min="2194" max="2194" width="12" customWidth="1"/>
    <col min="2195" max="2195" width="11.140625" customWidth="1"/>
    <col min="2196" max="2197" width="10" customWidth="1"/>
    <col min="2200" max="2200" width="10.7109375" customWidth="1"/>
    <col min="2444" max="2444" width="6.85546875" customWidth="1"/>
    <col min="2445" max="2445" width="35" customWidth="1"/>
    <col min="2446" max="2446" width="8" customWidth="1"/>
    <col min="2447" max="2447" width="31.85546875" customWidth="1"/>
    <col min="2448" max="2448" width="12" customWidth="1"/>
    <col min="2449" max="2449" width="11.5703125" customWidth="1"/>
    <col min="2450" max="2450" width="12" customWidth="1"/>
    <col min="2451" max="2451" width="11.140625" customWidth="1"/>
    <col min="2452" max="2453" width="10" customWidth="1"/>
    <col min="2456" max="2456" width="10.7109375" customWidth="1"/>
    <col min="2700" max="2700" width="6.85546875" customWidth="1"/>
    <col min="2701" max="2701" width="35" customWidth="1"/>
    <col min="2702" max="2702" width="8" customWidth="1"/>
    <col min="2703" max="2703" width="31.85546875" customWidth="1"/>
    <col min="2704" max="2704" width="12" customWidth="1"/>
    <col min="2705" max="2705" width="11.5703125" customWidth="1"/>
    <col min="2706" max="2706" width="12" customWidth="1"/>
    <col min="2707" max="2707" width="11.140625" customWidth="1"/>
    <col min="2708" max="2709" width="10" customWidth="1"/>
    <col min="2712" max="2712" width="10.7109375" customWidth="1"/>
    <col min="2956" max="2956" width="6.85546875" customWidth="1"/>
    <col min="2957" max="2957" width="35" customWidth="1"/>
    <col min="2958" max="2958" width="8" customWidth="1"/>
    <col min="2959" max="2959" width="31.85546875" customWidth="1"/>
    <col min="2960" max="2960" width="12" customWidth="1"/>
    <col min="2961" max="2961" width="11.5703125" customWidth="1"/>
    <col min="2962" max="2962" width="12" customWidth="1"/>
    <col min="2963" max="2963" width="11.140625" customWidth="1"/>
    <col min="2964" max="2965" width="10" customWidth="1"/>
    <col min="2968" max="2968" width="10.7109375" customWidth="1"/>
    <col min="3212" max="3212" width="6.85546875" customWidth="1"/>
    <col min="3213" max="3213" width="35" customWidth="1"/>
    <col min="3214" max="3214" width="8" customWidth="1"/>
    <col min="3215" max="3215" width="31.85546875" customWidth="1"/>
    <col min="3216" max="3216" width="12" customWidth="1"/>
    <col min="3217" max="3217" width="11.5703125" customWidth="1"/>
    <col min="3218" max="3218" width="12" customWidth="1"/>
    <col min="3219" max="3219" width="11.140625" customWidth="1"/>
    <col min="3220" max="3221" width="10" customWidth="1"/>
    <col min="3224" max="3224" width="10.7109375" customWidth="1"/>
    <col min="3468" max="3468" width="6.85546875" customWidth="1"/>
    <col min="3469" max="3469" width="35" customWidth="1"/>
    <col min="3470" max="3470" width="8" customWidth="1"/>
    <col min="3471" max="3471" width="31.85546875" customWidth="1"/>
    <col min="3472" max="3472" width="12" customWidth="1"/>
    <col min="3473" max="3473" width="11.5703125" customWidth="1"/>
    <col min="3474" max="3474" width="12" customWidth="1"/>
    <col min="3475" max="3475" width="11.140625" customWidth="1"/>
    <col min="3476" max="3477" width="10" customWidth="1"/>
    <col min="3480" max="3480" width="10.7109375" customWidth="1"/>
    <col min="3724" max="3724" width="6.85546875" customWidth="1"/>
    <col min="3725" max="3725" width="35" customWidth="1"/>
    <col min="3726" max="3726" width="8" customWidth="1"/>
    <col min="3727" max="3727" width="31.85546875" customWidth="1"/>
    <col min="3728" max="3728" width="12" customWidth="1"/>
    <col min="3729" max="3729" width="11.5703125" customWidth="1"/>
    <col min="3730" max="3730" width="12" customWidth="1"/>
    <col min="3731" max="3731" width="11.140625" customWidth="1"/>
    <col min="3732" max="3733" width="10" customWidth="1"/>
    <col min="3736" max="3736" width="10.7109375" customWidth="1"/>
    <col min="3980" max="3980" width="6.85546875" customWidth="1"/>
    <col min="3981" max="3981" width="35" customWidth="1"/>
    <col min="3982" max="3982" width="8" customWidth="1"/>
    <col min="3983" max="3983" width="31.85546875" customWidth="1"/>
    <col min="3984" max="3984" width="12" customWidth="1"/>
    <col min="3985" max="3985" width="11.5703125" customWidth="1"/>
    <col min="3986" max="3986" width="12" customWidth="1"/>
    <col min="3987" max="3987" width="11.140625" customWidth="1"/>
    <col min="3988" max="3989" width="10" customWidth="1"/>
    <col min="3992" max="3992" width="10.7109375" customWidth="1"/>
    <col min="4236" max="4236" width="6.85546875" customWidth="1"/>
    <col min="4237" max="4237" width="35" customWidth="1"/>
    <col min="4238" max="4238" width="8" customWidth="1"/>
    <col min="4239" max="4239" width="31.85546875" customWidth="1"/>
    <col min="4240" max="4240" width="12" customWidth="1"/>
    <col min="4241" max="4241" width="11.5703125" customWidth="1"/>
    <col min="4242" max="4242" width="12" customWidth="1"/>
    <col min="4243" max="4243" width="11.140625" customWidth="1"/>
    <col min="4244" max="4245" width="10" customWidth="1"/>
    <col min="4248" max="4248" width="10.7109375" customWidth="1"/>
    <col min="4492" max="4492" width="6.85546875" customWidth="1"/>
    <col min="4493" max="4493" width="35" customWidth="1"/>
    <col min="4494" max="4494" width="8" customWidth="1"/>
    <col min="4495" max="4495" width="31.85546875" customWidth="1"/>
    <col min="4496" max="4496" width="12" customWidth="1"/>
    <col min="4497" max="4497" width="11.5703125" customWidth="1"/>
    <col min="4498" max="4498" width="12" customWidth="1"/>
    <col min="4499" max="4499" width="11.140625" customWidth="1"/>
    <col min="4500" max="4501" width="10" customWidth="1"/>
    <col min="4504" max="4504" width="10.7109375" customWidth="1"/>
    <col min="4748" max="4748" width="6.85546875" customWidth="1"/>
    <col min="4749" max="4749" width="35" customWidth="1"/>
    <col min="4750" max="4750" width="8" customWidth="1"/>
    <col min="4751" max="4751" width="31.85546875" customWidth="1"/>
    <col min="4752" max="4752" width="12" customWidth="1"/>
    <col min="4753" max="4753" width="11.5703125" customWidth="1"/>
    <col min="4754" max="4754" width="12" customWidth="1"/>
    <col min="4755" max="4755" width="11.140625" customWidth="1"/>
    <col min="4756" max="4757" width="10" customWidth="1"/>
    <col min="4760" max="4760" width="10.7109375" customWidth="1"/>
    <col min="5004" max="5004" width="6.85546875" customWidth="1"/>
    <col min="5005" max="5005" width="35" customWidth="1"/>
    <col min="5006" max="5006" width="8" customWidth="1"/>
    <col min="5007" max="5007" width="31.85546875" customWidth="1"/>
    <col min="5008" max="5008" width="12" customWidth="1"/>
    <col min="5009" max="5009" width="11.5703125" customWidth="1"/>
    <col min="5010" max="5010" width="12" customWidth="1"/>
    <col min="5011" max="5011" width="11.140625" customWidth="1"/>
    <col min="5012" max="5013" width="10" customWidth="1"/>
    <col min="5016" max="5016" width="10.7109375" customWidth="1"/>
    <col min="5260" max="5260" width="6.85546875" customWidth="1"/>
    <col min="5261" max="5261" width="35" customWidth="1"/>
    <col min="5262" max="5262" width="8" customWidth="1"/>
    <col min="5263" max="5263" width="31.85546875" customWidth="1"/>
    <col min="5264" max="5264" width="12" customWidth="1"/>
    <col min="5265" max="5265" width="11.5703125" customWidth="1"/>
    <col min="5266" max="5266" width="12" customWidth="1"/>
    <col min="5267" max="5267" width="11.140625" customWidth="1"/>
    <col min="5268" max="5269" width="10" customWidth="1"/>
    <col min="5272" max="5272" width="10.7109375" customWidth="1"/>
    <col min="5516" max="5516" width="6.85546875" customWidth="1"/>
    <col min="5517" max="5517" width="35" customWidth="1"/>
    <col min="5518" max="5518" width="8" customWidth="1"/>
    <col min="5519" max="5519" width="31.85546875" customWidth="1"/>
    <col min="5520" max="5520" width="12" customWidth="1"/>
    <col min="5521" max="5521" width="11.5703125" customWidth="1"/>
    <col min="5522" max="5522" width="12" customWidth="1"/>
    <col min="5523" max="5523" width="11.140625" customWidth="1"/>
    <col min="5524" max="5525" width="10" customWidth="1"/>
    <col min="5528" max="5528" width="10.7109375" customWidth="1"/>
    <col min="5772" max="5772" width="6.85546875" customWidth="1"/>
    <col min="5773" max="5773" width="35" customWidth="1"/>
    <col min="5774" max="5774" width="8" customWidth="1"/>
    <col min="5775" max="5775" width="31.85546875" customWidth="1"/>
    <col min="5776" max="5776" width="12" customWidth="1"/>
    <col min="5777" max="5777" width="11.5703125" customWidth="1"/>
    <col min="5778" max="5778" width="12" customWidth="1"/>
    <col min="5779" max="5779" width="11.140625" customWidth="1"/>
    <col min="5780" max="5781" width="10" customWidth="1"/>
    <col min="5784" max="5784" width="10.7109375" customWidth="1"/>
    <col min="6028" max="6028" width="6.85546875" customWidth="1"/>
    <col min="6029" max="6029" width="35" customWidth="1"/>
    <col min="6030" max="6030" width="8" customWidth="1"/>
    <col min="6031" max="6031" width="31.85546875" customWidth="1"/>
    <col min="6032" max="6032" width="12" customWidth="1"/>
    <col min="6033" max="6033" width="11.5703125" customWidth="1"/>
    <col min="6034" max="6034" width="12" customWidth="1"/>
    <col min="6035" max="6035" width="11.140625" customWidth="1"/>
    <col min="6036" max="6037" width="10" customWidth="1"/>
    <col min="6040" max="6040" width="10.7109375" customWidth="1"/>
    <col min="6284" max="6284" width="6.85546875" customWidth="1"/>
    <col min="6285" max="6285" width="35" customWidth="1"/>
    <col min="6286" max="6286" width="8" customWidth="1"/>
    <col min="6287" max="6287" width="31.85546875" customWidth="1"/>
    <col min="6288" max="6288" width="12" customWidth="1"/>
    <col min="6289" max="6289" width="11.5703125" customWidth="1"/>
    <col min="6290" max="6290" width="12" customWidth="1"/>
    <col min="6291" max="6291" width="11.140625" customWidth="1"/>
    <col min="6292" max="6293" width="10" customWidth="1"/>
    <col min="6296" max="6296" width="10.7109375" customWidth="1"/>
    <col min="6540" max="6540" width="6.85546875" customWidth="1"/>
    <col min="6541" max="6541" width="35" customWidth="1"/>
    <col min="6542" max="6542" width="8" customWidth="1"/>
    <col min="6543" max="6543" width="31.85546875" customWidth="1"/>
    <col min="6544" max="6544" width="12" customWidth="1"/>
    <col min="6545" max="6545" width="11.5703125" customWidth="1"/>
    <col min="6546" max="6546" width="12" customWidth="1"/>
    <col min="6547" max="6547" width="11.140625" customWidth="1"/>
    <col min="6548" max="6549" width="10" customWidth="1"/>
    <col min="6552" max="6552" width="10.7109375" customWidth="1"/>
    <col min="6796" max="6796" width="6.85546875" customWidth="1"/>
    <col min="6797" max="6797" width="35" customWidth="1"/>
    <col min="6798" max="6798" width="8" customWidth="1"/>
    <col min="6799" max="6799" width="31.85546875" customWidth="1"/>
    <col min="6800" max="6800" width="12" customWidth="1"/>
    <col min="6801" max="6801" width="11.5703125" customWidth="1"/>
    <col min="6802" max="6802" width="12" customWidth="1"/>
    <col min="6803" max="6803" width="11.140625" customWidth="1"/>
    <col min="6804" max="6805" width="10" customWidth="1"/>
    <col min="6808" max="6808" width="10.7109375" customWidth="1"/>
    <col min="7052" max="7052" width="6.85546875" customWidth="1"/>
    <col min="7053" max="7053" width="35" customWidth="1"/>
    <col min="7054" max="7054" width="8" customWidth="1"/>
    <col min="7055" max="7055" width="31.85546875" customWidth="1"/>
    <col min="7056" max="7056" width="12" customWidth="1"/>
    <col min="7057" max="7057" width="11.5703125" customWidth="1"/>
    <col min="7058" max="7058" width="12" customWidth="1"/>
    <col min="7059" max="7059" width="11.140625" customWidth="1"/>
    <col min="7060" max="7061" width="10" customWidth="1"/>
    <col min="7064" max="7064" width="10.7109375" customWidth="1"/>
    <col min="7308" max="7308" width="6.85546875" customWidth="1"/>
    <col min="7309" max="7309" width="35" customWidth="1"/>
    <col min="7310" max="7310" width="8" customWidth="1"/>
    <col min="7311" max="7311" width="31.85546875" customWidth="1"/>
    <col min="7312" max="7312" width="12" customWidth="1"/>
    <col min="7313" max="7313" width="11.5703125" customWidth="1"/>
    <col min="7314" max="7314" width="12" customWidth="1"/>
    <col min="7315" max="7315" width="11.140625" customWidth="1"/>
    <col min="7316" max="7317" width="10" customWidth="1"/>
    <col min="7320" max="7320" width="10.7109375" customWidth="1"/>
    <col min="7564" max="7564" width="6.85546875" customWidth="1"/>
    <col min="7565" max="7565" width="35" customWidth="1"/>
    <col min="7566" max="7566" width="8" customWidth="1"/>
    <col min="7567" max="7567" width="31.85546875" customWidth="1"/>
    <col min="7568" max="7568" width="12" customWidth="1"/>
    <col min="7569" max="7569" width="11.5703125" customWidth="1"/>
    <col min="7570" max="7570" width="12" customWidth="1"/>
    <col min="7571" max="7571" width="11.140625" customWidth="1"/>
    <col min="7572" max="7573" width="10" customWidth="1"/>
    <col min="7576" max="7576" width="10.7109375" customWidth="1"/>
    <col min="7820" max="7820" width="6.85546875" customWidth="1"/>
    <col min="7821" max="7821" width="35" customWidth="1"/>
    <col min="7822" max="7822" width="8" customWidth="1"/>
    <col min="7823" max="7823" width="31.85546875" customWidth="1"/>
    <col min="7824" max="7824" width="12" customWidth="1"/>
    <col min="7825" max="7825" width="11.5703125" customWidth="1"/>
    <col min="7826" max="7826" width="12" customWidth="1"/>
    <col min="7827" max="7827" width="11.140625" customWidth="1"/>
    <col min="7828" max="7829" width="10" customWidth="1"/>
    <col min="7832" max="7832" width="10.7109375" customWidth="1"/>
    <col min="8076" max="8076" width="6.85546875" customWidth="1"/>
    <col min="8077" max="8077" width="35" customWidth="1"/>
    <col min="8078" max="8078" width="8" customWidth="1"/>
    <col min="8079" max="8079" width="31.85546875" customWidth="1"/>
    <col min="8080" max="8080" width="12" customWidth="1"/>
    <col min="8081" max="8081" width="11.5703125" customWidth="1"/>
    <col min="8082" max="8082" width="12" customWidth="1"/>
    <col min="8083" max="8083" width="11.140625" customWidth="1"/>
    <col min="8084" max="8085" width="10" customWidth="1"/>
    <col min="8088" max="8088" width="10.7109375" customWidth="1"/>
    <col min="8332" max="8332" width="6.85546875" customWidth="1"/>
    <col min="8333" max="8333" width="35" customWidth="1"/>
    <col min="8334" max="8334" width="8" customWidth="1"/>
    <col min="8335" max="8335" width="31.85546875" customWidth="1"/>
    <col min="8336" max="8336" width="12" customWidth="1"/>
    <col min="8337" max="8337" width="11.5703125" customWidth="1"/>
    <col min="8338" max="8338" width="12" customWidth="1"/>
    <col min="8339" max="8339" width="11.140625" customWidth="1"/>
    <col min="8340" max="8341" width="10" customWidth="1"/>
    <col min="8344" max="8344" width="10.7109375" customWidth="1"/>
    <col min="8588" max="8588" width="6.85546875" customWidth="1"/>
    <col min="8589" max="8589" width="35" customWidth="1"/>
    <col min="8590" max="8590" width="8" customWidth="1"/>
    <col min="8591" max="8591" width="31.85546875" customWidth="1"/>
    <col min="8592" max="8592" width="12" customWidth="1"/>
    <col min="8593" max="8593" width="11.5703125" customWidth="1"/>
    <col min="8594" max="8594" width="12" customWidth="1"/>
    <col min="8595" max="8595" width="11.140625" customWidth="1"/>
    <col min="8596" max="8597" width="10" customWidth="1"/>
    <col min="8600" max="8600" width="10.7109375" customWidth="1"/>
    <col min="8844" max="8844" width="6.85546875" customWidth="1"/>
    <col min="8845" max="8845" width="35" customWidth="1"/>
    <col min="8846" max="8846" width="8" customWidth="1"/>
    <col min="8847" max="8847" width="31.85546875" customWidth="1"/>
    <col min="8848" max="8848" width="12" customWidth="1"/>
    <col min="8849" max="8849" width="11.5703125" customWidth="1"/>
    <col min="8850" max="8850" width="12" customWidth="1"/>
    <col min="8851" max="8851" width="11.140625" customWidth="1"/>
    <col min="8852" max="8853" width="10" customWidth="1"/>
    <col min="8856" max="8856" width="10.7109375" customWidth="1"/>
    <col min="9100" max="9100" width="6.85546875" customWidth="1"/>
    <col min="9101" max="9101" width="35" customWidth="1"/>
    <col min="9102" max="9102" width="8" customWidth="1"/>
    <col min="9103" max="9103" width="31.85546875" customWidth="1"/>
    <col min="9104" max="9104" width="12" customWidth="1"/>
    <col min="9105" max="9105" width="11.5703125" customWidth="1"/>
    <col min="9106" max="9106" width="12" customWidth="1"/>
    <col min="9107" max="9107" width="11.140625" customWidth="1"/>
    <col min="9108" max="9109" width="10" customWidth="1"/>
    <col min="9112" max="9112" width="10.7109375" customWidth="1"/>
    <col min="9356" max="9356" width="6.85546875" customWidth="1"/>
    <col min="9357" max="9357" width="35" customWidth="1"/>
    <col min="9358" max="9358" width="8" customWidth="1"/>
    <col min="9359" max="9359" width="31.85546875" customWidth="1"/>
    <col min="9360" max="9360" width="12" customWidth="1"/>
    <col min="9361" max="9361" width="11.5703125" customWidth="1"/>
    <col min="9362" max="9362" width="12" customWidth="1"/>
    <col min="9363" max="9363" width="11.140625" customWidth="1"/>
    <col min="9364" max="9365" width="10" customWidth="1"/>
    <col min="9368" max="9368" width="10.7109375" customWidth="1"/>
    <col min="9612" max="9612" width="6.85546875" customWidth="1"/>
    <col min="9613" max="9613" width="35" customWidth="1"/>
    <col min="9614" max="9614" width="8" customWidth="1"/>
    <col min="9615" max="9615" width="31.85546875" customWidth="1"/>
    <col min="9616" max="9616" width="12" customWidth="1"/>
    <col min="9617" max="9617" width="11.5703125" customWidth="1"/>
    <col min="9618" max="9618" width="12" customWidth="1"/>
    <col min="9619" max="9619" width="11.140625" customWidth="1"/>
    <col min="9620" max="9621" width="10" customWidth="1"/>
    <col min="9624" max="9624" width="10.7109375" customWidth="1"/>
    <col min="9868" max="9868" width="6.85546875" customWidth="1"/>
    <col min="9869" max="9869" width="35" customWidth="1"/>
    <col min="9870" max="9870" width="8" customWidth="1"/>
    <col min="9871" max="9871" width="31.85546875" customWidth="1"/>
    <col min="9872" max="9872" width="12" customWidth="1"/>
    <col min="9873" max="9873" width="11.5703125" customWidth="1"/>
    <col min="9874" max="9874" width="12" customWidth="1"/>
    <col min="9875" max="9875" width="11.140625" customWidth="1"/>
    <col min="9876" max="9877" width="10" customWidth="1"/>
    <col min="9880" max="9880" width="10.7109375" customWidth="1"/>
    <col min="10124" max="10124" width="6.85546875" customWidth="1"/>
    <col min="10125" max="10125" width="35" customWidth="1"/>
    <col min="10126" max="10126" width="8" customWidth="1"/>
    <col min="10127" max="10127" width="31.85546875" customWidth="1"/>
    <col min="10128" max="10128" width="12" customWidth="1"/>
    <col min="10129" max="10129" width="11.5703125" customWidth="1"/>
    <col min="10130" max="10130" width="12" customWidth="1"/>
    <col min="10131" max="10131" width="11.140625" customWidth="1"/>
    <col min="10132" max="10133" width="10" customWidth="1"/>
    <col min="10136" max="10136" width="10.7109375" customWidth="1"/>
    <col min="10380" max="10380" width="6.85546875" customWidth="1"/>
    <col min="10381" max="10381" width="35" customWidth="1"/>
    <col min="10382" max="10382" width="8" customWidth="1"/>
    <col min="10383" max="10383" width="31.85546875" customWidth="1"/>
    <col min="10384" max="10384" width="12" customWidth="1"/>
    <col min="10385" max="10385" width="11.5703125" customWidth="1"/>
    <col min="10386" max="10386" width="12" customWidth="1"/>
    <col min="10387" max="10387" width="11.140625" customWidth="1"/>
    <col min="10388" max="10389" width="10" customWidth="1"/>
    <col min="10392" max="10392" width="10.7109375" customWidth="1"/>
    <col min="10636" max="10636" width="6.85546875" customWidth="1"/>
    <col min="10637" max="10637" width="35" customWidth="1"/>
    <col min="10638" max="10638" width="8" customWidth="1"/>
    <col min="10639" max="10639" width="31.85546875" customWidth="1"/>
    <col min="10640" max="10640" width="12" customWidth="1"/>
    <col min="10641" max="10641" width="11.5703125" customWidth="1"/>
    <col min="10642" max="10642" width="12" customWidth="1"/>
    <col min="10643" max="10643" width="11.140625" customWidth="1"/>
    <col min="10644" max="10645" width="10" customWidth="1"/>
    <col min="10648" max="10648" width="10.7109375" customWidth="1"/>
    <col min="10892" max="10892" width="6.85546875" customWidth="1"/>
    <col min="10893" max="10893" width="35" customWidth="1"/>
    <col min="10894" max="10894" width="8" customWidth="1"/>
    <col min="10895" max="10895" width="31.85546875" customWidth="1"/>
    <col min="10896" max="10896" width="12" customWidth="1"/>
    <col min="10897" max="10897" width="11.5703125" customWidth="1"/>
    <col min="10898" max="10898" width="12" customWidth="1"/>
    <col min="10899" max="10899" width="11.140625" customWidth="1"/>
    <col min="10900" max="10901" width="10" customWidth="1"/>
    <col min="10904" max="10904" width="10.7109375" customWidth="1"/>
    <col min="11148" max="11148" width="6.85546875" customWidth="1"/>
    <col min="11149" max="11149" width="35" customWidth="1"/>
    <col min="11150" max="11150" width="8" customWidth="1"/>
    <col min="11151" max="11151" width="31.85546875" customWidth="1"/>
    <col min="11152" max="11152" width="12" customWidth="1"/>
    <col min="11153" max="11153" width="11.5703125" customWidth="1"/>
    <col min="11154" max="11154" width="12" customWidth="1"/>
    <col min="11155" max="11155" width="11.140625" customWidth="1"/>
    <col min="11156" max="11157" width="10" customWidth="1"/>
    <col min="11160" max="11160" width="10.7109375" customWidth="1"/>
    <col min="11404" max="11404" width="6.85546875" customWidth="1"/>
    <col min="11405" max="11405" width="35" customWidth="1"/>
    <col min="11406" max="11406" width="8" customWidth="1"/>
    <col min="11407" max="11407" width="31.85546875" customWidth="1"/>
    <col min="11408" max="11408" width="12" customWidth="1"/>
    <col min="11409" max="11409" width="11.5703125" customWidth="1"/>
    <col min="11410" max="11410" width="12" customWidth="1"/>
    <col min="11411" max="11411" width="11.140625" customWidth="1"/>
    <col min="11412" max="11413" width="10" customWidth="1"/>
    <col min="11416" max="11416" width="10.7109375" customWidth="1"/>
    <col min="11660" max="11660" width="6.85546875" customWidth="1"/>
    <col min="11661" max="11661" width="35" customWidth="1"/>
    <col min="11662" max="11662" width="8" customWidth="1"/>
    <col min="11663" max="11663" width="31.85546875" customWidth="1"/>
    <col min="11664" max="11664" width="12" customWidth="1"/>
    <col min="11665" max="11665" width="11.5703125" customWidth="1"/>
    <col min="11666" max="11666" width="12" customWidth="1"/>
    <col min="11667" max="11667" width="11.140625" customWidth="1"/>
    <col min="11668" max="11669" width="10" customWidth="1"/>
    <col min="11672" max="11672" width="10.7109375" customWidth="1"/>
    <col min="11916" max="11916" width="6.85546875" customWidth="1"/>
    <col min="11917" max="11917" width="35" customWidth="1"/>
    <col min="11918" max="11918" width="8" customWidth="1"/>
    <col min="11919" max="11919" width="31.85546875" customWidth="1"/>
    <col min="11920" max="11920" width="12" customWidth="1"/>
    <col min="11921" max="11921" width="11.5703125" customWidth="1"/>
    <col min="11922" max="11922" width="12" customWidth="1"/>
    <col min="11923" max="11923" width="11.140625" customWidth="1"/>
    <col min="11924" max="11925" width="10" customWidth="1"/>
    <col min="11928" max="11928" width="10.7109375" customWidth="1"/>
    <col min="12172" max="12172" width="6.85546875" customWidth="1"/>
    <col min="12173" max="12173" width="35" customWidth="1"/>
    <col min="12174" max="12174" width="8" customWidth="1"/>
    <col min="12175" max="12175" width="31.85546875" customWidth="1"/>
    <col min="12176" max="12176" width="12" customWidth="1"/>
    <col min="12177" max="12177" width="11.5703125" customWidth="1"/>
    <col min="12178" max="12178" width="12" customWidth="1"/>
    <col min="12179" max="12179" width="11.140625" customWidth="1"/>
    <col min="12180" max="12181" width="10" customWidth="1"/>
    <col min="12184" max="12184" width="10.7109375" customWidth="1"/>
    <col min="12428" max="12428" width="6.85546875" customWidth="1"/>
    <col min="12429" max="12429" width="35" customWidth="1"/>
    <col min="12430" max="12430" width="8" customWidth="1"/>
    <col min="12431" max="12431" width="31.85546875" customWidth="1"/>
    <col min="12432" max="12432" width="12" customWidth="1"/>
    <col min="12433" max="12433" width="11.5703125" customWidth="1"/>
    <col min="12434" max="12434" width="12" customWidth="1"/>
    <col min="12435" max="12435" width="11.140625" customWidth="1"/>
    <col min="12436" max="12437" width="10" customWidth="1"/>
    <col min="12440" max="12440" width="10.7109375" customWidth="1"/>
    <col min="12684" max="12684" width="6.85546875" customWidth="1"/>
    <col min="12685" max="12685" width="35" customWidth="1"/>
    <col min="12686" max="12686" width="8" customWidth="1"/>
    <col min="12687" max="12687" width="31.85546875" customWidth="1"/>
    <col min="12688" max="12688" width="12" customWidth="1"/>
    <col min="12689" max="12689" width="11.5703125" customWidth="1"/>
    <col min="12690" max="12690" width="12" customWidth="1"/>
    <col min="12691" max="12691" width="11.140625" customWidth="1"/>
    <col min="12692" max="12693" width="10" customWidth="1"/>
    <col min="12696" max="12696" width="10.7109375" customWidth="1"/>
    <col min="12940" max="12940" width="6.85546875" customWidth="1"/>
    <col min="12941" max="12941" width="35" customWidth="1"/>
    <col min="12942" max="12942" width="8" customWidth="1"/>
    <col min="12943" max="12943" width="31.85546875" customWidth="1"/>
    <col min="12944" max="12944" width="12" customWidth="1"/>
    <col min="12945" max="12945" width="11.5703125" customWidth="1"/>
    <col min="12946" max="12946" width="12" customWidth="1"/>
    <col min="12947" max="12947" width="11.140625" customWidth="1"/>
    <col min="12948" max="12949" width="10" customWidth="1"/>
    <col min="12952" max="12952" width="10.7109375" customWidth="1"/>
    <col min="13196" max="13196" width="6.85546875" customWidth="1"/>
    <col min="13197" max="13197" width="35" customWidth="1"/>
    <col min="13198" max="13198" width="8" customWidth="1"/>
    <col min="13199" max="13199" width="31.85546875" customWidth="1"/>
    <col min="13200" max="13200" width="12" customWidth="1"/>
    <col min="13201" max="13201" width="11.5703125" customWidth="1"/>
    <col min="13202" max="13202" width="12" customWidth="1"/>
    <col min="13203" max="13203" width="11.140625" customWidth="1"/>
    <col min="13204" max="13205" width="10" customWidth="1"/>
    <col min="13208" max="13208" width="10.7109375" customWidth="1"/>
    <col min="13452" max="13452" width="6.85546875" customWidth="1"/>
    <col min="13453" max="13453" width="35" customWidth="1"/>
    <col min="13454" max="13454" width="8" customWidth="1"/>
    <col min="13455" max="13455" width="31.85546875" customWidth="1"/>
    <col min="13456" max="13456" width="12" customWidth="1"/>
    <col min="13457" max="13457" width="11.5703125" customWidth="1"/>
    <col min="13458" max="13458" width="12" customWidth="1"/>
    <col min="13459" max="13459" width="11.140625" customWidth="1"/>
    <col min="13460" max="13461" width="10" customWidth="1"/>
    <col min="13464" max="13464" width="10.7109375" customWidth="1"/>
    <col min="13708" max="13708" width="6.85546875" customWidth="1"/>
    <col min="13709" max="13709" width="35" customWidth="1"/>
    <col min="13710" max="13710" width="8" customWidth="1"/>
    <col min="13711" max="13711" width="31.85546875" customWidth="1"/>
    <col min="13712" max="13712" width="12" customWidth="1"/>
    <col min="13713" max="13713" width="11.5703125" customWidth="1"/>
    <col min="13714" max="13714" width="12" customWidth="1"/>
    <col min="13715" max="13715" width="11.140625" customWidth="1"/>
    <col min="13716" max="13717" width="10" customWidth="1"/>
    <col min="13720" max="13720" width="10.7109375" customWidth="1"/>
    <col min="13964" max="13964" width="6.85546875" customWidth="1"/>
    <col min="13965" max="13965" width="35" customWidth="1"/>
    <col min="13966" max="13966" width="8" customWidth="1"/>
    <col min="13967" max="13967" width="31.85546875" customWidth="1"/>
    <col min="13968" max="13968" width="12" customWidth="1"/>
    <col min="13969" max="13969" width="11.5703125" customWidth="1"/>
    <col min="13970" max="13970" width="12" customWidth="1"/>
    <col min="13971" max="13971" width="11.140625" customWidth="1"/>
    <col min="13972" max="13973" width="10" customWidth="1"/>
    <col min="13976" max="13976" width="10.7109375" customWidth="1"/>
    <col min="14220" max="14220" width="6.85546875" customWidth="1"/>
    <col min="14221" max="14221" width="35" customWidth="1"/>
    <col min="14222" max="14222" width="8" customWidth="1"/>
    <col min="14223" max="14223" width="31.85546875" customWidth="1"/>
    <col min="14224" max="14224" width="12" customWidth="1"/>
    <col min="14225" max="14225" width="11.5703125" customWidth="1"/>
    <col min="14226" max="14226" width="12" customWidth="1"/>
    <col min="14227" max="14227" width="11.140625" customWidth="1"/>
    <col min="14228" max="14229" width="10" customWidth="1"/>
    <col min="14232" max="14232" width="10.7109375" customWidth="1"/>
    <col min="14476" max="14476" width="6.85546875" customWidth="1"/>
    <col min="14477" max="14477" width="35" customWidth="1"/>
    <col min="14478" max="14478" width="8" customWidth="1"/>
    <col min="14479" max="14479" width="31.85546875" customWidth="1"/>
    <col min="14480" max="14480" width="12" customWidth="1"/>
    <col min="14481" max="14481" width="11.5703125" customWidth="1"/>
    <col min="14482" max="14482" width="12" customWidth="1"/>
    <col min="14483" max="14483" width="11.140625" customWidth="1"/>
    <col min="14484" max="14485" width="10" customWidth="1"/>
    <col min="14488" max="14488" width="10.7109375" customWidth="1"/>
    <col min="14732" max="14732" width="6.85546875" customWidth="1"/>
    <col min="14733" max="14733" width="35" customWidth="1"/>
    <col min="14734" max="14734" width="8" customWidth="1"/>
    <col min="14735" max="14735" width="31.85546875" customWidth="1"/>
    <col min="14736" max="14736" width="12" customWidth="1"/>
    <col min="14737" max="14737" width="11.5703125" customWidth="1"/>
    <col min="14738" max="14738" width="12" customWidth="1"/>
    <col min="14739" max="14739" width="11.140625" customWidth="1"/>
    <col min="14740" max="14741" width="10" customWidth="1"/>
    <col min="14744" max="14744" width="10.7109375" customWidth="1"/>
    <col min="14988" max="14988" width="6.85546875" customWidth="1"/>
    <col min="14989" max="14989" width="35" customWidth="1"/>
    <col min="14990" max="14990" width="8" customWidth="1"/>
    <col min="14991" max="14991" width="31.85546875" customWidth="1"/>
    <col min="14992" max="14992" width="12" customWidth="1"/>
    <col min="14993" max="14993" width="11.5703125" customWidth="1"/>
    <col min="14994" max="14994" width="12" customWidth="1"/>
    <col min="14995" max="14995" width="11.140625" customWidth="1"/>
    <col min="14996" max="14997" width="10" customWidth="1"/>
    <col min="15000" max="15000" width="10.7109375" customWidth="1"/>
    <col min="15244" max="15244" width="6.85546875" customWidth="1"/>
    <col min="15245" max="15245" width="35" customWidth="1"/>
    <col min="15246" max="15246" width="8" customWidth="1"/>
    <col min="15247" max="15247" width="31.85546875" customWidth="1"/>
    <col min="15248" max="15248" width="12" customWidth="1"/>
    <col min="15249" max="15249" width="11.5703125" customWidth="1"/>
    <col min="15250" max="15250" width="12" customWidth="1"/>
    <col min="15251" max="15251" width="11.140625" customWidth="1"/>
    <col min="15252" max="15253" width="10" customWidth="1"/>
    <col min="15256" max="15256" width="10.7109375" customWidth="1"/>
    <col min="15500" max="15500" width="6.85546875" customWidth="1"/>
    <col min="15501" max="15501" width="35" customWidth="1"/>
    <col min="15502" max="15502" width="8" customWidth="1"/>
    <col min="15503" max="15503" width="31.85546875" customWidth="1"/>
    <col min="15504" max="15504" width="12" customWidth="1"/>
    <col min="15505" max="15505" width="11.5703125" customWidth="1"/>
    <col min="15506" max="15506" width="12" customWidth="1"/>
    <col min="15507" max="15507" width="11.140625" customWidth="1"/>
    <col min="15508" max="15509" width="10" customWidth="1"/>
    <col min="15512" max="15512" width="10.7109375" customWidth="1"/>
    <col min="15756" max="15756" width="6.85546875" customWidth="1"/>
    <col min="15757" max="15757" width="35" customWidth="1"/>
    <col min="15758" max="15758" width="8" customWidth="1"/>
    <col min="15759" max="15759" width="31.85546875" customWidth="1"/>
    <col min="15760" max="15760" width="12" customWidth="1"/>
    <col min="15761" max="15761" width="11.5703125" customWidth="1"/>
    <col min="15762" max="15762" width="12" customWidth="1"/>
    <col min="15763" max="15763" width="11.140625" customWidth="1"/>
    <col min="15764" max="15765" width="10" customWidth="1"/>
    <col min="15768" max="15768" width="10.7109375" customWidth="1"/>
    <col min="16012" max="16012" width="6.85546875" customWidth="1"/>
    <col min="16013" max="16013" width="35" customWidth="1"/>
    <col min="16014" max="16014" width="8" customWidth="1"/>
    <col min="16015" max="16015" width="31.85546875" customWidth="1"/>
    <col min="16016" max="16016" width="12" customWidth="1"/>
    <col min="16017" max="16017" width="11.5703125" customWidth="1"/>
    <col min="16018" max="16018" width="12" customWidth="1"/>
    <col min="16019" max="16019" width="11.140625" customWidth="1"/>
    <col min="16020" max="16021" width="10" customWidth="1"/>
    <col min="16024" max="16024" width="10.7109375" customWidth="1"/>
  </cols>
  <sheetData>
    <row r="1" spans="1:45" ht="15" x14ac:dyDescent="0.25">
      <c r="A1" s="46" t="s">
        <v>2</v>
      </c>
      <c r="B1" s="46"/>
      <c r="C1" s="38"/>
      <c r="D1" s="46"/>
      <c r="E1" s="46"/>
      <c r="F1" s="61"/>
      <c r="G1" s="60"/>
      <c r="H1" s="61"/>
      <c r="AC1" s="48"/>
      <c r="AD1" s="48"/>
      <c r="AE1" s="48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15" customHeight="1" x14ac:dyDescent="0.25">
      <c r="A2" s="46" t="s">
        <v>3</v>
      </c>
      <c r="B2" s="46"/>
      <c r="C2" s="38"/>
      <c r="D2" s="46"/>
      <c r="E2" s="46"/>
      <c r="F2" s="61"/>
      <c r="G2" s="60"/>
      <c r="H2" s="61"/>
    </row>
    <row r="3" spans="1:45" ht="12.75" customHeight="1" x14ac:dyDescent="0.25">
      <c r="A3" s="996" t="s">
        <v>4</v>
      </c>
      <c r="B3" s="996"/>
      <c r="C3" s="996"/>
      <c r="D3" s="996"/>
      <c r="E3" s="996"/>
      <c r="F3" s="61"/>
      <c r="G3" s="60"/>
      <c r="H3" s="61"/>
      <c r="AD3" s="380"/>
    </row>
    <row r="4" spans="1:45" ht="15" x14ac:dyDescent="0.25">
      <c r="A4" s="60"/>
      <c r="B4" s="46"/>
      <c r="C4" s="46"/>
      <c r="D4" s="46"/>
      <c r="E4" s="46"/>
      <c r="F4" s="61"/>
      <c r="G4" s="60"/>
      <c r="H4" s="61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P5" s="916"/>
      <c r="Q5" s="851" t="s">
        <v>815</v>
      </c>
      <c r="R5" s="845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916"/>
      <c r="AG5" s="851" t="s">
        <v>815</v>
      </c>
      <c r="AH5" s="845"/>
      <c r="AI5" s="50"/>
      <c r="AJ5" s="50"/>
      <c r="AK5" s="50"/>
      <c r="AL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8" customHeight="1" thickBot="1" x14ac:dyDescent="0.3">
      <c r="A7" s="60"/>
      <c r="B7" s="5"/>
      <c r="D7" s="9"/>
      <c r="E7" s="5"/>
      <c r="F7" s="61"/>
      <c r="G7" s="60"/>
      <c r="H7" s="61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87"/>
      <c r="B8" s="62"/>
      <c r="C8" s="62"/>
      <c r="D8" s="62"/>
      <c r="E8" s="62"/>
      <c r="F8" s="62"/>
      <c r="G8" s="62"/>
      <c r="H8" s="62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19.5" customHeight="1" thickBot="1" x14ac:dyDescent="0.25">
      <c r="A9" s="10" t="s">
        <v>745</v>
      </c>
      <c r="D9" s="10"/>
      <c r="F9" s="51"/>
      <c r="G9" s="52"/>
      <c r="H9" s="52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147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148" t="s">
        <v>517</v>
      </c>
      <c r="H11" s="172" t="s">
        <v>725</v>
      </c>
      <c r="I11" s="533" t="s">
        <v>254</v>
      </c>
      <c r="J11" s="532" t="s">
        <v>255</v>
      </c>
      <c r="K11" s="532" t="s">
        <v>260</v>
      </c>
      <c r="L11" s="532" t="s">
        <v>256</v>
      </c>
      <c r="M11" s="532" t="s">
        <v>257</v>
      </c>
      <c r="N11" s="532" t="s">
        <v>803</v>
      </c>
      <c r="O11" s="606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s="152" customFormat="1" ht="14.1" customHeight="1" x14ac:dyDescent="0.2">
      <c r="A12" s="149">
        <v>1</v>
      </c>
      <c r="B12" s="150">
        <v>3454</v>
      </c>
      <c r="C12" s="150">
        <v>600029085</v>
      </c>
      <c r="D12" s="150">
        <v>75122294</v>
      </c>
      <c r="E12" s="151" t="s">
        <v>7</v>
      </c>
      <c r="F12" s="150">
        <v>3233</v>
      </c>
      <c r="G12" s="151" t="s">
        <v>283</v>
      </c>
      <c r="H12" s="413" t="s">
        <v>263</v>
      </c>
      <c r="I12" s="579">
        <v>4155058</v>
      </c>
      <c r="J12" s="521">
        <v>3082387</v>
      </c>
      <c r="K12" s="521">
        <v>0</v>
      </c>
      <c r="L12" s="745">
        <v>1041847</v>
      </c>
      <c r="M12" s="745">
        <v>30824</v>
      </c>
      <c r="N12" s="745">
        <v>0</v>
      </c>
      <c r="O12" s="681">
        <v>5.22</v>
      </c>
      <c r="P12" s="572">
        <f>W12*-1</f>
        <v>0</v>
      </c>
      <c r="Q12" s="573">
        <v>0</v>
      </c>
      <c r="R12" s="573">
        <v>0</v>
      </c>
      <c r="S12" s="573">
        <v>0</v>
      </c>
      <c r="T12" s="573">
        <v>0</v>
      </c>
      <c r="U12" s="573">
        <v>0</v>
      </c>
      <c r="V12" s="573">
        <f>P12+Q12+R12+S12+T12+U12</f>
        <v>0</v>
      </c>
      <c r="W12" s="573">
        <v>0</v>
      </c>
      <c r="X12" s="573">
        <v>0</v>
      </c>
      <c r="Y12" s="573">
        <v>0</v>
      </c>
      <c r="Z12" s="573">
        <f>W12+X12+Y12</f>
        <v>0</v>
      </c>
      <c r="AA12" s="573">
        <f>V12+Z12</f>
        <v>0</v>
      </c>
      <c r="AB12" s="575">
        <f>ROUND((V12+Z12)*33.8%,0)</f>
        <v>0</v>
      </c>
      <c r="AC12" s="575">
        <f>ROUND(V12*1%,0)</f>
        <v>0</v>
      </c>
      <c r="AD12" s="573">
        <v>0</v>
      </c>
      <c r="AE12" s="605">
        <f>AA12+AB12+AC12+AD12</f>
        <v>0</v>
      </c>
      <c r="AF12" s="607">
        <v>0</v>
      </c>
      <c r="AG12" s="522">
        <v>0</v>
      </c>
      <c r="AH12" s="522">
        <v>0</v>
      </c>
      <c r="AI12" s="522">
        <v>0</v>
      </c>
      <c r="AJ12" s="522">
        <v>0</v>
      </c>
      <c r="AK12" s="522">
        <v>0</v>
      </c>
      <c r="AL12" s="608">
        <f>SUM(AF12:AK12)</f>
        <v>0</v>
      </c>
      <c r="AM12" s="572">
        <f>I12+AE12</f>
        <v>4155058</v>
      </c>
      <c r="AN12" s="573">
        <f>J12+V12</f>
        <v>3082387</v>
      </c>
      <c r="AO12" s="573">
        <f>K12+Z12</f>
        <v>0</v>
      </c>
      <c r="AP12" s="573">
        <f>L12+AB12</f>
        <v>1041847</v>
      </c>
      <c r="AQ12" s="573">
        <f>M12+AC12</f>
        <v>30824</v>
      </c>
      <c r="AR12" s="573">
        <f>N12+AD12</f>
        <v>0</v>
      </c>
      <c r="AS12" s="576">
        <f>O12+AL12</f>
        <v>5.22</v>
      </c>
    </row>
    <row r="13" spans="1:45" s="152" customFormat="1" ht="12.75" customHeight="1" x14ac:dyDescent="0.2">
      <c r="A13" s="105">
        <v>1</v>
      </c>
      <c r="B13" s="12">
        <v>3454</v>
      </c>
      <c r="C13" s="104">
        <v>600029085</v>
      </c>
      <c r="D13" s="104">
        <v>75122294</v>
      </c>
      <c r="E13" s="153" t="s">
        <v>8</v>
      </c>
      <c r="F13" s="12"/>
      <c r="G13" s="153"/>
      <c r="H13" s="407"/>
      <c r="I13" s="746">
        <v>4155058</v>
      </c>
      <c r="J13" s="378">
        <v>3082387</v>
      </c>
      <c r="K13" s="378">
        <v>0</v>
      </c>
      <c r="L13" s="378">
        <v>1041847</v>
      </c>
      <c r="M13" s="378">
        <v>30824</v>
      </c>
      <c r="N13" s="378">
        <v>0</v>
      </c>
      <c r="O13" s="340">
        <v>5.22</v>
      </c>
      <c r="P13" s="444">
        <f t="shared" ref="P13:AS13" si="0">SUM(P12)</f>
        <v>0</v>
      </c>
      <c r="Q13" s="378">
        <f t="shared" si="0"/>
        <v>0</v>
      </c>
      <c r="R13" s="378">
        <f t="shared" si="0"/>
        <v>0</v>
      </c>
      <c r="S13" s="378">
        <f t="shared" si="0"/>
        <v>0</v>
      </c>
      <c r="T13" s="378">
        <f t="shared" si="0"/>
        <v>0</v>
      </c>
      <c r="U13" s="378">
        <f t="shared" si="0"/>
        <v>0</v>
      </c>
      <c r="V13" s="378">
        <f t="shared" si="0"/>
        <v>0</v>
      </c>
      <c r="W13" s="378">
        <f t="shared" si="0"/>
        <v>0</v>
      </c>
      <c r="X13" s="378">
        <f t="shared" si="0"/>
        <v>0</v>
      </c>
      <c r="Y13" s="378">
        <f t="shared" si="0"/>
        <v>0</v>
      </c>
      <c r="Z13" s="378">
        <f t="shared" si="0"/>
        <v>0</v>
      </c>
      <c r="AA13" s="378">
        <f t="shared" si="0"/>
        <v>0</v>
      </c>
      <c r="AB13" s="378">
        <f t="shared" si="0"/>
        <v>0</v>
      </c>
      <c r="AC13" s="378">
        <f t="shared" si="0"/>
        <v>0</v>
      </c>
      <c r="AD13" s="378">
        <f t="shared" si="0"/>
        <v>0</v>
      </c>
      <c r="AE13" s="752">
        <f t="shared" si="0"/>
        <v>0</v>
      </c>
      <c r="AF13" s="754">
        <f t="shared" si="0"/>
        <v>0</v>
      </c>
      <c r="AG13" s="398">
        <f t="shared" si="0"/>
        <v>0</v>
      </c>
      <c r="AH13" s="398">
        <f t="shared" si="0"/>
        <v>0</v>
      </c>
      <c r="AI13" s="398">
        <f t="shared" si="0"/>
        <v>0</v>
      </c>
      <c r="AJ13" s="398">
        <f t="shared" si="0"/>
        <v>0</v>
      </c>
      <c r="AK13" s="398">
        <f t="shared" si="0"/>
        <v>0</v>
      </c>
      <c r="AL13" s="340">
        <f t="shared" si="0"/>
        <v>0</v>
      </c>
      <c r="AM13" s="444">
        <f t="shared" si="0"/>
        <v>4155058</v>
      </c>
      <c r="AN13" s="378">
        <f t="shared" si="0"/>
        <v>3082387</v>
      </c>
      <c r="AO13" s="378">
        <f t="shared" si="0"/>
        <v>0</v>
      </c>
      <c r="AP13" s="378">
        <f t="shared" si="0"/>
        <v>1041847</v>
      </c>
      <c r="AQ13" s="378">
        <f t="shared" si="0"/>
        <v>30824</v>
      </c>
      <c r="AR13" s="378">
        <f t="shared" si="0"/>
        <v>0</v>
      </c>
      <c r="AS13" s="398">
        <f t="shared" si="0"/>
        <v>5.22</v>
      </c>
    </row>
    <row r="14" spans="1:45" s="152" customFormat="1" ht="12.75" customHeight="1" x14ac:dyDescent="0.2">
      <c r="A14" s="154">
        <v>2</v>
      </c>
      <c r="B14" s="155">
        <v>3470</v>
      </c>
      <c r="C14" s="155">
        <v>691003572</v>
      </c>
      <c r="D14" s="155">
        <v>72550341</v>
      </c>
      <c r="E14" s="156" t="s">
        <v>9</v>
      </c>
      <c r="F14" s="155">
        <v>3111</v>
      </c>
      <c r="G14" s="156" t="s">
        <v>277</v>
      </c>
      <c r="H14" s="157" t="s">
        <v>262</v>
      </c>
      <c r="I14" s="610">
        <v>4746794</v>
      </c>
      <c r="J14" s="410">
        <v>3521360</v>
      </c>
      <c r="K14" s="410">
        <v>0</v>
      </c>
      <c r="L14" s="431">
        <v>1190220</v>
      </c>
      <c r="M14" s="431">
        <v>35214</v>
      </c>
      <c r="N14" s="431">
        <v>0</v>
      </c>
      <c r="O14" s="747">
        <v>6</v>
      </c>
      <c r="P14" s="445">
        <f>W14*-1</f>
        <v>0</v>
      </c>
      <c r="Q14" s="325">
        <v>0</v>
      </c>
      <c r="R14" s="325">
        <v>0</v>
      </c>
      <c r="S14" s="325">
        <v>0</v>
      </c>
      <c r="T14" s="325">
        <v>0</v>
      </c>
      <c r="U14" s="325">
        <v>0</v>
      </c>
      <c r="V14" s="492">
        <f t="shared" ref="V14:V15" si="1">P14+Q14+R14+S14+T14+U14</f>
        <v>0</v>
      </c>
      <c r="W14" s="325">
        <v>0</v>
      </c>
      <c r="X14" s="325">
        <v>0</v>
      </c>
      <c r="Y14" s="325">
        <v>0</v>
      </c>
      <c r="Z14" s="492">
        <f t="shared" ref="Z14:Z15" si="2">W14+X14+Y14</f>
        <v>0</v>
      </c>
      <c r="AA14" s="492">
        <f t="shared" ref="AA14:AA15" si="3">V14+Z14</f>
        <v>0</v>
      </c>
      <c r="AB14" s="494">
        <f t="shared" ref="AB14:AB15" si="4">ROUND((V14+Z14)*33.8%,0)</f>
        <v>0</v>
      </c>
      <c r="AC14" s="494">
        <f t="shared" ref="AC14:AC15" si="5">ROUND(V14*1%,0)</f>
        <v>0</v>
      </c>
      <c r="AD14" s="492">
        <v>0</v>
      </c>
      <c r="AE14" s="753">
        <f t="shared" ref="AE14:AE15" si="6">AA14+AB14+AC14+AD14</f>
        <v>0</v>
      </c>
      <c r="AF14" s="688">
        <v>0</v>
      </c>
      <c r="AG14" s="326">
        <v>0</v>
      </c>
      <c r="AH14" s="326">
        <v>0</v>
      </c>
      <c r="AI14" s="326">
        <v>0</v>
      </c>
      <c r="AJ14" s="326">
        <v>0</v>
      </c>
      <c r="AK14" s="326">
        <v>0</v>
      </c>
      <c r="AL14" s="609">
        <f t="shared" ref="AL14:AL15" si="7">SUM(AF14:AK14)</f>
        <v>0</v>
      </c>
      <c r="AM14" s="493">
        <f>I14+AE14</f>
        <v>4746794</v>
      </c>
      <c r="AN14" s="492">
        <f>J14+V14</f>
        <v>3521360</v>
      </c>
      <c r="AO14" s="573">
        <f>K14+Z14</f>
        <v>0</v>
      </c>
      <c r="AP14" s="492">
        <f>L14+AB14</f>
        <v>1190220</v>
      </c>
      <c r="AQ14" s="492">
        <f>M14+AC14</f>
        <v>35214</v>
      </c>
      <c r="AR14" s="573">
        <f t="shared" ref="AR14:AR15" si="8">N14+AD14</f>
        <v>0</v>
      </c>
      <c r="AS14" s="491">
        <f t="shared" ref="AS14:AS15" si="9">O14+AL14</f>
        <v>6</v>
      </c>
    </row>
    <row r="15" spans="1:45" s="152" customFormat="1" ht="12.75" customHeight="1" x14ac:dyDescent="0.2">
      <c r="A15" s="154">
        <v>2</v>
      </c>
      <c r="B15" s="155">
        <v>3470</v>
      </c>
      <c r="C15" s="155">
        <v>691003572</v>
      </c>
      <c r="D15" s="155">
        <v>72550341</v>
      </c>
      <c r="E15" s="156" t="s">
        <v>9</v>
      </c>
      <c r="F15" s="155">
        <v>3111</v>
      </c>
      <c r="G15" s="156" t="s">
        <v>284</v>
      </c>
      <c r="H15" s="157" t="s">
        <v>263</v>
      </c>
      <c r="I15" s="580">
        <v>199456</v>
      </c>
      <c r="J15" s="323">
        <v>147964</v>
      </c>
      <c r="K15" s="410">
        <v>0</v>
      </c>
      <c r="L15" s="431">
        <v>50012</v>
      </c>
      <c r="M15" s="431">
        <v>1480</v>
      </c>
      <c r="N15" s="431">
        <v>0</v>
      </c>
      <c r="O15" s="748">
        <v>0.5</v>
      </c>
      <c r="P15" s="440">
        <f>W15*-1</f>
        <v>0</v>
      </c>
      <c r="Q15" s="325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 t="shared" si="1"/>
        <v>0</v>
      </c>
      <c r="W15" s="325">
        <v>0</v>
      </c>
      <c r="X15" s="325">
        <v>0</v>
      </c>
      <c r="Y15" s="325">
        <v>0</v>
      </c>
      <c r="Z15" s="492">
        <f t="shared" si="2"/>
        <v>0</v>
      </c>
      <c r="AA15" s="492">
        <f t="shared" si="3"/>
        <v>0</v>
      </c>
      <c r="AB15" s="494">
        <f t="shared" si="4"/>
        <v>0</v>
      </c>
      <c r="AC15" s="494">
        <f t="shared" si="5"/>
        <v>0</v>
      </c>
      <c r="AD15" s="492">
        <v>0</v>
      </c>
      <c r="AE15" s="753">
        <f t="shared" si="6"/>
        <v>0</v>
      </c>
      <c r="AF15" s="688">
        <v>0</v>
      </c>
      <c r="AG15" s="326">
        <v>0</v>
      </c>
      <c r="AH15" s="326">
        <v>0</v>
      </c>
      <c r="AI15" s="326">
        <v>0</v>
      </c>
      <c r="AJ15" s="326">
        <v>0</v>
      </c>
      <c r="AK15" s="326">
        <v>0</v>
      </c>
      <c r="AL15" s="609">
        <f t="shared" si="7"/>
        <v>0</v>
      </c>
      <c r="AM15" s="493">
        <f>I15+AE15</f>
        <v>199456</v>
      </c>
      <c r="AN15" s="492">
        <f>J15+V15</f>
        <v>147964</v>
      </c>
      <c r="AO15" s="573">
        <f>K15+Z15</f>
        <v>0</v>
      </c>
      <c r="AP15" s="492">
        <f>L15+AB15</f>
        <v>50012</v>
      </c>
      <c r="AQ15" s="492">
        <f>M15+AC15</f>
        <v>1480</v>
      </c>
      <c r="AR15" s="573">
        <f t="shared" si="8"/>
        <v>0</v>
      </c>
      <c r="AS15" s="491">
        <f t="shared" si="9"/>
        <v>0.5</v>
      </c>
    </row>
    <row r="16" spans="1:45" s="152" customFormat="1" ht="12.75" customHeight="1" x14ac:dyDescent="0.2">
      <c r="A16" s="105">
        <v>2</v>
      </c>
      <c r="B16" s="12">
        <v>3470</v>
      </c>
      <c r="C16" s="104">
        <v>691003572</v>
      </c>
      <c r="D16" s="104">
        <v>72550341</v>
      </c>
      <c r="E16" s="153" t="s">
        <v>10</v>
      </c>
      <c r="F16" s="12"/>
      <c r="G16" s="153"/>
      <c r="H16" s="407"/>
      <c r="I16" s="746">
        <v>4946250</v>
      </c>
      <c r="J16" s="378">
        <v>3669324</v>
      </c>
      <c r="K16" s="378">
        <v>0</v>
      </c>
      <c r="L16" s="378">
        <v>1240232</v>
      </c>
      <c r="M16" s="378">
        <v>36694</v>
      </c>
      <c r="N16" s="378">
        <v>0</v>
      </c>
      <c r="O16" s="340">
        <v>6.5</v>
      </c>
      <c r="P16" s="444">
        <f t="shared" ref="P16:AS16" si="10">SUM(P14:P15)</f>
        <v>0</v>
      </c>
      <c r="Q16" s="378">
        <f t="shared" si="10"/>
        <v>0</v>
      </c>
      <c r="R16" s="378">
        <f t="shared" si="10"/>
        <v>0</v>
      </c>
      <c r="S16" s="378">
        <f t="shared" si="10"/>
        <v>0</v>
      </c>
      <c r="T16" s="378">
        <f t="shared" si="10"/>
        <v>0</v>
      </c>
      <c r="U16" s="378">
        <f t="shared" si="10"/>
        <v>0</v>
      </c>
      <c r="V16" s="378">
        <f t="shared" si="10"/>
        <v>0</v>
      </c>
      <c r="W16" s="378">
        <f t="shared" si="10"/>
        <v>0</v>
      </c>
      <c r="X16" s="378">
        <f t="shared" si="10"/>
        <v>0</v>
      </c>
      <c r="Y16" s="378">
        <f t="shared" si="10"/>
        <v>0</v>
      </c>
      <c r="Z16" s="378">
        <f t="shared" si="10"/>
        <v>0</v>
      </c>
      <c r="AA16" s="378">
        <f t="shared" si="10"/>
        <v>0</v>
      </c>
      <c r="AB16" s="378">
        <f t="shared" si="10"/>
        <v>0</v>
      </c>
      <c r="AC16" s="378">
        <f t="shared" si="10"/>
        <v>0</v>
      </c>
      <c r="AD16" s="378">
        <f t="shared" si="10"/>
        <v>0</v>
      </c>
      <c r="AE16" s="752">
        <f t="shared" si="10"/>
        <v>0</v>
      </c>
      <c r="AF16" s="754">
        <f t="shared" si="10"/>
        <v>0</v>
      </c>
      <c r="AG16" s="398">
        <f t="shared" si="10"/>
        <v>0</v>
      </c>
      <c r="AH16" s="398">
        <f t="shared" si="10"/>
        <v>0</v>
      </c>
      <c r="AI16" s="398">
        <f t="shared" si="10"/>
        <v>0</v>
      </c>
      <c r="AJ16" s="398">
        <f t="shared" si="10"/>
        <v>0</v>
      </c>
      <c r="AK16" s="398">
        <f t="shared" si="10"/>
        <v>0</v>
      </c>
      <c r="AL16" s="340">
        <f t="shared" si="10"/>
        <v>0</v>
      </c>
      <c r="AM16" s="444">
        <f t="shared" si="10"/>
        <v>4946250</v>
      </c>
      <c r="AN16" s="378">
        <f t="shared" si="10"/>
        <v>3669324</v>
      </c>
      <c r="AO16" s="378">
        <f t="shared" si="10"/>
        <v>0</v>
      </c>
      <c r="AP16" s="378">
        <f t="shared" si="10"/>
        <v>1240232</v>
      </c>
      <c r="AQ16" s="378">
        <f t="shared" si="10"/>
        <v>36694</v>
      </c>
      <c r="AR16" s="378">
        <f t="shared" si="10"/>
        <v>0</v>
      </c>
      <c r="AS16" s="398">
        <f t="shared" si="10"/>
        <v>6.5</v>
      </c>
    </row>
    <row r="17" spans="1:45" s="152" customFormat="1" ht="12.75" customHeight="1" x14ac:dyDescent="0.2">
      <c r="A17" s="154">
        <v>3</v>
      </c>
      <c r="B17" s="155">
        <v>3469</v>
      </c>
      <c r="C17" s="155">
        <v>691003548</v>
      </c>
      <c r="D17" s="155">
        <v>72550384</v>
      </c>
      <c r="E17" s="156" t="s">
        <v>11</v>
      </c>
      <c r="F17" s="155">
        <v>3111</v>
      </c>
      <c r="G17" s="156" t="s">
        <v>277</v>
      </c>
      <c r="H17" s="157" t="s">
        <v>262</v>
      </c>
      <c r="I17" s="580">
        <v>6293665</v>
      </c>
      <c r="J17" s="410">
        <v>4668891</v>
      </c>
      <c r="K17" s="410">
        <v>0</v>
      </c>
      <c r="L17" s="431">
        <v>1578085</v>
      </c>
      <c r="M17" s="431">
        <v>46689</v>
      </c>
      <c r="N17" s="431">
        <v>0</v>
      </c>
      <c r="O17" s="747">
        <v>8</v>
      </c>
      <c r="P17" s="445">
        <f>W17*-1</f>
        <v>0</v>
      </c>
      <c r="Q17" s="325">
        <v>0</v>
      </c>
      <c r="R17" s="325">
        <v>0</v>
      </c>
      <c r="S17" s="325">
        <v>0</v>
      </c>
      <c r="T17" s="325">
        <v>0</v>
      </c>
      <c r="U17" s="325">
        <v>0</v>
      </c>
      <c r="V17" s="492">
        <f t="shared" ref="V17:V18" si="11">P17+Q17+R17+S17+T17+U17</f>
        <v>0</v>
      </c>
      <c r="W17" s="325">
        <v>0</v>
      </c>
      <c r="X17" s="325">
        <v>0</v>
      </c>
      <c r="Y17" s="325">
        <v>0</v>
      </c>
      <c r="Z17" s="492">
        <f t="shared" ref="Z17:Z18" si="12">W17+X17+Y17</f>
        <v>0</v>
      </c>
      <c r="AA17" s="492">
        <f t="shared" ref="AA17:AA18" si="13">V17+Z17</f>
        <v>0</v>
      </c>
      <c r="AB17" s="494">
        <f t="shared" ref="AB17:AB18" si="14">ROUND((V17+Z17)*33.8%,0)</f>
        <v>0</v>
      </c>
      <c r="AC17" s="494">
        <f t="shared" ref="AC17:AC18" si="15">ROUND(V17*1%,0)</f>
        <v>0</v>
      </c>
      <c r="AD17" s="492">
        <v>0</v>
      </c>
      <c r="AE17" s="753">
        <f t="shared" ref="AE17:AE18" si="16">AA17+AB17+AC17+AD17</f>
        <v>0</v>
      </c>
      <c r="AF17" s="688">
        <v>0</v>
      </c>
      <c r="AG17" s="326">
        <v>0</v>
      </c>
      <c r="AH17" s="326">
        <v>0</v>
      </c>
      <c r="AI17" s="326">
        <v>0</v>
      </c>
      <c r="AJ17" s="326">
        <v>0</v>
      </c>
      <c r="AK17" s="326">
        <v>0</v>
      </c>
      <c r="AL17" s="609">
        <f t="shared" ref="AL17:AL18" si="17">SUM(AF17:AK17)</f>
        <v>0</v>
      </c>
      <c r="AM17" s="493">
        <f>I17+AE17</f>
        <v>6293665</v>
      </c>
      <c r="AN17" s="492">
        <f>J17+V17</f>
        <v>4668891</v>
      </c>
      <c r="AO17" s="573">
        <f t="shared" ref="AO17:AO18" si="18">K17+Z17</f>
        <v>0</v>
      </c>
      <c r="AP17" s="492">
        <f>L17+AB17</f>
        <v>1578085</v>
      </c>
      <c r="AQ17" s="492">
        <f>M17+AC17</f>
        <v>46689</v>
      </c>
      <c r="AR17" s="573">
        <f t="shared" ref="AR17:AR18" si="19">N17+AD17</f>
        <v>0</v>
      </c>
      <c r="AS17" s="491">
        <f t="shared" ref="AS17:AS18" si="20">O17+AL17</f>
        <v>8</v>
      </c>
    </row>
    <row r="18" spans="1:45" s="152" customFormat="1" ht="12.75" customHeight="1" x14ac:dyDescent="0.2">
      <c r="A18" s="154">
        <v>3</v>
      </c>
      <c r="B18" s="155">
        <v>3469</v>
      </c>
      <c r="C18" s="155">
        <v>691003548</v>
      </c>
      <c r="D18" s="155">
        <v>72550384</v>
      </c>
      <c r="E18" s="156" t="s">
        <v>11</v>
      </c>
      <c r="F18" s="155">
        <v>3111</v>
      </c>
      <c r="G18" s="156" t="s">
        <v>284</v>
      </c>
      <c r="H18" s="157" t="s">
        <v>263</v>
      </c>
      <c r="I18" s="580">
        <v>0</v>
      </c>
      <c r="J18" s="323">
        <v>0</v>
      </c>
      <c r="K18" s="410">
        <v>0</v>
      </c>
      <c r="L18" s="431">
        <v>0</v>
      </c>
      <c r="M18" s="431">
        <v>0</v>
      </c>
      <c r="N18" s="431">
        <v>0</v>
      </c>
      <c r="O18" s="748">
        <v>0</v>
      </c>
      <c r="P18" s="440">
        <f>W18*-1</f>
        <v>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 t="shared" si="11"/>
        <v>0</v>
      </c>
      <c r="W18" s="325">
        <v>0</v>
      </c>
      <c r="X18" s="325">
        <v>0</v>
      </c>
      <c r="Y18" s="325">
        <v>0</v>
      </c>
      <c r="Z18" s="492">
        <f t="shared" si="12"/>
        <v>0</v>
      </c>
      <c r="AA18" s="492">
        <f t="shared" si="13"/>
        <v>0</v>
      </c>
      <c r="AB18" s="494">
        <f t="shared" si="14"/>
        <v>0</v>
      </c>
      <c r="AC18" s="494">
        <f t="shared" si="15"/>
        <v>0</v>
      </c>
      <c r="AD18" s="492">
        <v>0</v>
      </c>
      <c r="AE18" s="753">
        <f t="shared" si="16"/>
        <v>0</v>
      </c>
      <c r="AF18" s="688">
        <v>0</v>
      </c>
      <c r="AG18" s="326">
        <v>0</v>
      </c>
      <c r="AH18" s="326">
        <v>0</v>
      </c>
      <c r="AI18" s="326">
        <v>0</v>
      </c>
      <c r="AJ18" s="326">
        <v>0</v>
      </c>
      <c r="AK18" s="326">
        <v>0</v>
      </c>
      <c r="AL18" s="609">
        <f t="shared" si="17"/>
        <v>0</v>
      </c>
      <c r="AM18" s="493">
        <f>I18+AE18</f>
        <v>0</v>
      </c>
      <c r="AN18" s="492">
        <f>J18+V18</f>
        <v>0</v>
      </c>
      <c r="AO18" s="573">
        <f t="shared" si="18"/>
        <v>0</v>
      </c>
      <c r="AP18" s="492">
        <f>L18+AB18</f>
        <v>0</v>
      </c>
      <c r="AQ18" s="492">
        <f>M18+AC18</f>
        <v>0</v>
      </c>
      <c r="AR18" s="573">
        <f t="shared" si="19"/>
        <v>0</v>
      </c>
      <c r="AS18" s="491">
        <f t="shared" si="20"/>
        <v>0</v>
      </c>
    </row>
    <row r="19" spans="1:45" s="152" customFormat="1" ht="12.75" customHeight="1" x14ac:dyDescent="0.2">
      <c r="A19" s="105">
        <v>3</v>
      </c>
      <c r="B19" s="12">
        <v>3469</v>
      </c>
      <c r="C19" s="104">
        <v>691003548</v>
      </c>
      <c r="D19" s="104">
        <v>72550384</v>
      </c>
      <c r="E19" s="153" t="s">
        <v>12</v>
      </c>
      <c r="F19" s="12"/>
      <c r="G19" s="153"/>
      <c r="H19" s="407"/>
      <c r="I19" s="746">
        <v>6293665</v>
      </c>
      <c r="J19" s="378">
        <v>4668891</v>
      </c>
      <c r="K19" s="378">
        <v>0</v>
      </c>
      <c r="L19" s="378">
        <v>1578085</v>
      </c>
      <c r="M19" s="378">
        <v>46689</v>
      </c>
      <c r="N19" s="378">
        <v>0</v>
      </c>
      <c r="O19" s="340">
        <v>8</v>
      </c>
      <c r="P19" s="444">
        <f t="shared" ref="P19:AS19" si="21">SUM(P17:P18)</f>
        <v>0</v>
      </c>
      <c r="Q19" s="378">
        <f t="shared" si="21"/>
        <v>0</v>
      </c>
      <c r="R19" s="378">
        <f t="shared" si="21"/>
        <v>0</v>
      </c>
      <c r="S19" s="378">
        <f t="shared" si="21"/>
        <v>0</v>
      </c>
      <c r="T19" s="378">
        <f t="shared" si="21"/>
        <v>0</v>
      </c>
      <c r="U19" s="378">
        <f t="shared" si="21"/>
        <v>0</v>
      </c>
      <c r="V19" s="378">
        <f t="shared" si="21"/>
        <v>0</v>
      </c>
      <c r="W19" s="378">
        <f t="shared" si="21"/>
        <v>0</v>
      </c>
      <c r="X19" s="378">
        <f t="shared" si="21"/>
        <v>0</v>
      </c>
      <c r="Y19" s="378">
        <f t="shared" si="21"/>
        <v>0</v>
      </c>
      <c r="Z19" s="378">
        <f t="shared" si="21"/>
        <v>0</v>
      </c>
      <c r="AA19" s="378">
        <f t="shared" si="21"/>
        <v>0</v>
      </c>
      <c r="AB19" s="378">
        <f t="shared" si="21"/>
        <v>0</v>
      </c>
      <c r="AC19" s="378">
        <f t="shared" si="21"/>
        <v>0</v>
      </c>
      <c r="AD19" s="378">
        <f t="shared" si="21"/>
        <v>0</v>
      </c>
      <c r="AE19" s="752">
        <f t="shared" si="21"/>
        <v>0</v>
      </c>
      <c r="AF19" s="754">
        <f t="shared" si="21"/>
        <v>0</v>
      </c>
      <c r="AG19" s="398">
        <f t="shared" si="21"/>
        <v>0</v>
      </c>
      <c r="AH19" s="398">
        <f t="shared" si="21"/>
        <v>0</v>
      </c>
      <c r="AI19" s="398">
        <f t="shared" si="21"/>
        <v>0</v>
      </c>
      <c r="AJ19" s="398">
        <f t="shared" si="21"/>
        <v>0</v>
      </c>
      <c r="AK19" s="398">
        <f t="shared" si="21"/>
        <v>0</v>
      </c>
      <c r="AL19" s="340">
        <f t="shared" si="21"/>
        <v>0</v>
      </c>
      <c r="AM19" s="444">
        <f t="shared" si="21"/>
        <v>6293665</v>
      </c>
      <c r="AN19" s="378">
        <f t="shared" si="21"/>
        <v>4668891</v>
      </c>
      <c r="AO19" s="378">
        <f t="shared" si="21"/>
        <v>0</v>
      </c>
      <c r="AP19" s="378">
        <f t="shared" si="21"/>
        <v>1578085</v>
      </c>
      <c r="AQ19" s="378">
        <f t="shared" si="21"/>
        <v>46689</v>
      </c>
      <c r="AR19" s="378">
        <f t="shared" si="21"/>
        <v>0</v>
      </c>
      <c r="AS19" s="398">
        <f t="shared" si="21"/>
        <v>8</v>
      </c>
    </row>
    <row r="20" spans="1:45" s="152" customFormat="1" ht="12.75" customHeight="1" x14ac:dyDescent="0.2">
      <c r="A20" s="154">
        <v>4</v>
      </c>
      <c r="B20" s="155">
        <v>3462</v>
      </c>
      <c r="C20" s="155">
        <v>691001294</v>
      </c>
      <c r="D20" s="155">
        <v>72048115</v>
      </c>
      <c r="E20" s="156" t="s">
        <v>13</v>
      </c>
      <c r="F20" s="155">
        <v>3111</v>
      </c>
      <c r="G20" s="156" t="s">
        <v>277</v>
      </c>
      <c r="H20" s="157" t="s">
        <v>262</v>
      </c>
      <c r="I20" s="610">
        <v>4990518</v>
      </c>
      <c r="J20" s="410">
        <v>3684977</v>
      </c>
      <c r="K20" s="410">
        <v>17316</v>
      </c>
      <c r="L20" s="431">
        <v>1251375</v>
      </c>
      <c r="M20" s="431">
        <v>36850</v>
      </c>
      <c r="N20" s="431">
        <v>0</v>
      </c>
      <c r="O20" s="747">
        <v>6</v>
      </c>
      <c r="P20" s="445">
        <f>W20*-1</f>
        <v>-11544</v>
      </c>
      <c r="Q20" s="325">
        <v>0</v>
      </c>
      <c r="R20" s="325">
        <v>0</v>
      </c>
      <c r="S20" s="325">
        <v>0</v>
      </c>
      <c r="T20" s="325">
        <v>0</v>
      </c>
      <c r="U20" s="325">
        <v>0</v>
      </c>
      <c r="V20" s="492">
        <f t="shared" ref="V20:V21" si="22">P20+Q20+R20+S20+T20+U20</f>
        <v>-11544</v>
      </c>
      <c r="W20" s="325">
        <v>11544</v>
      </c>
      <c r="X20" s="325">
        <v>0</v>
      </c>
      <c r="Y20" s="325">
        <v>0</v>
      </c>
      <c r="Z20" s="492">
        <f t="shared" ref="Z20:Z21" si="23">W20+X20+Y20</f>
        <v>11544</v>
      </c>
      <c r="AA20" s="492">
        <f t="shared" ref="AA20:AA21" si="24">V20+Z20</f>
        <v>0</v>
      </c>
      <c r="AB20" s="494">
        <f t="shared" ref="AB20:AB21" si="25">ROUND((V20+Z20)*33.8%,0)</f>
        <v>0</v>
      </c>
      <c r="AC20" s="494">
        <f t="shared" ref="AC20:AC21" si="26">ROUND(V20*1%,0)</f>
        <v>-115</v>
      </c>
      <c r="AD20" s="492">
        <v>0</v>
      </c>
      <c r="AE20" s="753">
        <f t="shared" ref="AE20:AE21" si="27">AA20+AB20+AC20+AD20</f>
        <v>-115</v>
      </c>
      <c r="AF20" s="688">
        <v>0</v>
      </c>
      <c r="AG20" s="326">
        <v>0</v>
      </c>
      <c r="AH20" s="326">
        <v>0</v>
      </c>
      <c r="AI20" s="326">
        <v>0</v>
      </c>
      <c r="AJ20" s="326">
        <v>0</v>
      </c>
      <c r="AK20" s="326">
        <v>0</v>
      </c>
      <c r="AL20" s="609">
        <f t="shared" ref="AL20:AL21" si="28">SUM(AF20:AK20)</f>
        <v>0</v>
      </c>
      <c r="AM20" s="493">
        <f>I20+AE20</f>
        <v>4990403</v>
      </c>
      <c r="AN20" s="492">
        <f>J20+V20</f>
        <v>3673433</v>
      </c>
      <c r="AO20" s="573">
        <f t="shared" ref="AO20:AO21" si="29">K20+Z20</f>
        <v>28860</v>
      </c>
      <c r="AP20" s="492">
        <f>L20+AB20</f>
        <v>1251375</v>
      </c>
      <c r="AQ20" s="492">
        <f>M20+AC20</f>
        <v>36735</v>
      </c>
      <c r="AR20" s="573">
        <f t="shared" ref="AR20:AR21" si="30">N20+AD20</f>
        <v>0</v>
      </c>
      <c r="AS20" s="491">
        <f t="shared" ref="AS20:AS21" si="31">O20+AL20</f>
        <v>6</v>
      </c>
    </row>
    <row r="21" spans="1:45" s="152" customFormat="1" ht="12.75" customHeight="1" x14ac:dyDescent="0.2">
      <c r="A21" s="154">
        <v>4</v>
      </c>
      <c r="B21" s="155">
        <v>3462</v>
      </c>
      <c r="C21" s="155">
        <v>691001294</v>
      </c>
      <c r="D21" s="155">
        <v>72048115</v>
      </c>
      <c r="E21" s="156" t="s">
        <v>13</v>
      </c>
      <c r="F21" s="155">
        <v>3111</v>
      </c>
      <c r="G21" s="156" t="s">
        <v>278</v>
      </c>
      <c r="H21" s="157" t="s">
        <v>263</v>
      </c>
      <c r="I21" s="580">
        <v>0</v>
      </c>
      <c r="J21" s="323">
        <v>0</v>
      </c>
      <c r="K21" s="410">
        <v>0</v>
      </c>
      <c r="L21" s="431">
        <v>0</v>
      </c>
      <c r="M21" s="431">
        <v>0</v>
      </c>
      <c r="N21" s="431">
        <v>0</v>
      </c>
      <c r="O21" s="748">
        <v>0</v>
      </c>
      <c r="P21" s="440">
        <f>W21*-1</f>
        <v>0</v>
      </c>
      <c r="Q21" s="325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 t="shared" si="22"/>
        <v>0</v>
      </c>
      <c r="W21" s="325">
        <v>0</v>
      </c>
      <c r="X21" s="325">
        <v>0</v>
      </c>
      <c r="Y21" s="325">
        <v>0</v>
      </c>
      <c r="Z21" s="492">
        <f t="shared" si="23"/>
        <v>0</v>
      </c>
      <c r="AA21" s="492">
        <f t="shared" si="24"/>
        <v>0</v>
      </c>
      <c r="AB21" s="494">
        <f t="shared" si="25"/>
        <v>0</v>
      </c>
      <c r="AC21" s="494">
        <f t="shared" si="26"/>
        <v>0</v>
      </c>
      <c r="AD21" s="492">
        <v>0</v>
      </c>
      <c r="AE21" s="753">
        <f t="shared" si="27"/>
        <v>0</v>
      </c>
      <c r="AF21" s="688">
        <v>0</v>
      </c>
      <c r="AG21" s="326">
        <v>0</v>
      </c>
      <c r="AH21" s="326">
        <v>0</v>
      </c>
      <c r="AI21" s="326">
        <v>0</v>
      </c>
      <c r="AJ21" s="326">
        <v>0</v>
      </c>
      <c r="AK21" s="326">
        <v>0</v>
      </c>
      <c r="AL21" s="609">
        <f t="shared" si="28"/>
        <v>0</v>
      </c>
      <c r="AM21" s="493">
        <f>I21+AE21</f>
        <v>0</v>
      </c>
      <c r="AN21" s="492">
        <f>J21+V21</f>
        <v>0</v>
      </c>
      <c r="AO21" s="573">
        <f t="shared" si="29"/>
        <v>0</v>
      </c>
      <c r="AP21" s="492">
        <f>L21+AB21</f>
        <v>0</v>
      </c>
      <c r="AQ21" s="492">
        <f>M21+AC21</f>
        <v>0</v>
      </c>
      <c r="AR21" s="573">
        <f t="shared" si="30"/>
        <v>0</v>
      </c>
      <c r="AS21" s="491">
        <f t="shared" si="31"/>
        <v>0</v>
      </c>
    </row>
    <row r="22" spans="1:45" s="152" customFormat="1" ht="12.75" customHeight="1" x14ac:dyDescent="0.2">
      <c r="A22" s="105">
        <v>4</v>
      </c>
      <c r="B22" s="12">
        <v>3462</v>
      </c>
      <c r="C22" s="104">
        <v>691001294</v>
      </c>
      <c r="D22" s="104">
        <v>72048115</v>
      </c>
      <c r="E22" s="153" t="s">
        <v>14</v>
      </c>
      <c r="F22" s="12"/>
      <c r="G22" s="153"/>
      <c r="H22" s="407"/>
      <c r="I22" s="746">
        <v>4990518</v>
      </c>
      <c r="J22" s="378">
        <v>3684977</v>
      </c>
      <c r="K22" s="378">
        <v>17316</v>
      </c>
      <c r="L22" s="378">
        <v>1251375</v>
      </c>
      <c r="M22" s="378">
        <v>36850</v>
      </c>
      <c r="N22" s="378">
        <v>0</v>
      </c>
      <c r="O22" s="340">
        <v>6</v>
      </c>
      <c r="P22" s="444">
        <f t="shared" ref="P22:AS22" si="32">SUM(P20:P21)</f>
        <v>-11544</v>
      </c>
      <c r="Q22" s="378">
        <f t="shared" si="32"/>
        <v>0</v>
      </c>
      <c r="R22" s="378">
        <f t="shared" si="32"/>
        <v>0</v>
      </c>
      <c r="S22" s="378">
        <f t="shared" si="32"/>
        <v>0</v>
      </c>
      <c r="T22" s="378">
        <f t="shared" si="32"/>
        <v>0</v>
      </c>
      <c r="U22" s="378">
        <f t="shared" si="32"/>
        <v>0</v>
      </c>
      <c r="V22" s="378">
        <f t="shared" si="32"/>
        <v>-11544</v>
      </c>
      <c r="W22" s="378">
        <f t="shared" si="32"/>
        <v>11544</v>
      </c>
      <c r="X22" s="378">
        <f t="shared" si="32"/>
        <v>0</v>
      </c>
      <c r="Y22" s="378">
        <f t="shared" si="32"/>
        <v>0</v>
      </c>
      <c r="Z22" s="378">
        <f t="shared" si="32"/>
        <v>11544</v>
      </c>
      <c r="AA22" s="378">
        <f t="shared" si="32"/>
        <v>0</v>
      </c>
      <c r="AB22" s="378">
        <f t="shared" si="32"/>
        <v>0</v>
      </c>
      <c r="AC22" s="378">
        <f t="shared" si="32"/>
        <v>-115</v>
      </c>
      <c r="AD22" s="378">
        <f t="shared" si="32"/>
        <v>0</v>
      </c>
      <c r="AE22" s="752">
        <f t="shared" si="32"/>
        <v>-115</v>
      </c>
      <c r="AF22" s="754">
        <f t="shared" si="32"/>
        <v>0</v>
      </c>
      <c r="AG22" s="398">
        <f t="shared" si="32"/>
        <v>0</v>
      </c>
      <c r="AH22" s="398">
        <f t="shared" si="32"/>
        <v>0</v>
      </c>
      <c r="AI22" s="398">
        <f t="shared" si="32"/>
        <v>0</v>
      </c>
      <c r="AJ22" s="398">
        <f t="shared" si="32"/>
        <v>0</v>
      </c>
      <c r="AK22" s="398">
        <f t="shared" si="32"/>
        <v>0</v>
      </c>
      <c r="AL22" s="340">
        <f t="shared" si="32"/>
        <v>0</v>
      </c>
      <c r="AM22" s="444">
        <f t="shared" si="32"/>
        <v>4990403</v>
      </c>
      <c r="AN22" s="378">
        <f t="shared" si="32"/>
        <v>3673433</v>
      </c>
      <c r="AO22" s="378">
        <f t="shared" si="32"/>
        <v>28860</v>
      </c>
      <c r="AP22" s="378">
        <f t="shared" si="32"/>
        <v>1251375</v>
      </c>
      <c r="AQ22" s="378">
        <f t="shared" si="32"/>
        <v>36735</v>
      </c>
      <c r="AR22" s="378">
        <f t="shared" si="32"/>
        <v>0</v>
      </c>
      <c r="AS22" s="398">
        <f t="shared" si="32"/>
        <v>6</v>
      </c>
    </row>
    <row r="23" spans="1:45" s="152" customFormat="1" ht="12.75" customHeight="1" x14ac:dyDescent="0.2">
      <c r="A23" s="154">
        <v>5</v>
      </c>
      <c r="B23" s="155">
        <v>3464</v>
      </c>
      <c r="C23" s="155">
        <v>691001316</v>
      </c>
      <c r="D23" s="155">
        <v>72048140</v>
      </c>
      <c r="E23" s="156" t="s">
        <v>15</v>
      </c>
      <c r="F23" s="155">
        <v>3111</v>
      </c>
      <c r="G23" s="156" t="s">
        <v>277</v>
      </c>
      <c r="H23" s="157" t="s">
        <v>262</v>
      </c>
      <c r="I23" s="610">
        <v>6715309</v>
      </c>
      <c r="J23" s="410">
        <v>4965008</v>
      </c>
      <c r="K23" s="410">
        <v>16800</v>
      </c>
      <c r="L23" s="431">
        <v>1683851</v>
      </c>
      <c r="M23" s="431">
        <v>49650</v>
      </c>
      <c r="N23" s="431">
        <v>0</v>
      </c>
      <c r="O23" s="747">
        <v>8.2899999999999991</v>
      </c>
      <c r="P23" s="445">
        <f>W23*-1</f>
        <v>-11200</v>
      </c>
      <c r="Q23" s="325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 t="shared" ref="V23:V24" si="33">P23+Q23+R23+S23+T23+U23</f>
        <v>-11200</v>
      </c>
      <c r="W23" s="325">
        <v>11200</v>
      </c>
      <c r="X23" s="325">
        <v>0</v>
      </c>
      <c r="Y23" s="325">
        <v>0</v>
      </c>
      <c r="Z23" s="492">
        <f t="shared" ref="Z23:Z24" si="34">W23+X23+Y23</f>
        <v>11200</v>
      </c>
      <c r="AA23" s="492">
        <f t="shared" ref="AA23:AA24" si="35">V23+Z23</f>
        <v>0</v>
      </c>
      <c r="AB23" s="494">
        <f t="shared" ref="AB23:AB24" si="36">ROUND((V23+Z23)*33.8%,0)</f>
        <v>0</v>
      </c>
      <c r="AC23" s="494">
        <f t="shared" ref="AC23:AC24" si="37">ROUND(V23*1%,0)</f>
        <v>-112</v>
      </c>
      <c r="AD23" s="492">
        <v>0</v>
      </c>
      <c r="AE23" s="753">
        <f t="shared" ref="AE23:AE24" si="38">AA23+AB23+AC23+AD23</f>
        <v>-112</v>
      </c>
      <c r="AF23" s="688">
        <v>0</v>
      </c>
      <c r="AG23" s="326">
        <v>0</v>
      </c>
      <c r="AH23" s="326">
        <v>0</v>
      </c>
      <c r="AI23" s="326">
        <v>0</v>
      </c>
      <c r="AJ23" s="326">
        <v>0</v>
      </c>
      <c r="AK23" s="326">
        <v>0</v>
      </c>
      <c r="AL23" s="609">
        <f t="shared" ref="AL23:AL24" si="39">SUM(AF23:AK23)</f>
        <v>0</v>
      </c>
      <c r="AM23" s="493">
        <f>I23+AE23</f>
        <v>6715197</v>
      </c>
      <c r="AN23" s="492">
        <f>J23+V23</f>
        <v>4953808</v>
      </c>
      <c r="AO23" s="573">
        <f t="shared" ref="AO23:AO24" si="40">K23+Z23</f>
        <v>28000</v>
      </c>
      <c r="AP23" s="492">
        <f>L23+AB23</f>
        <v>1683851</v>
      </c>
      <c r="AQ23" s="492">
        <f>M23+AC23</f>
        <v>49538</v>
      </c>
      <c r="AR23" s="573">
        <f t="shared" ref="AR23:AR24" si="41">N23+AD23</f>
        <v>0</v>
      </c>
      <c r="AS23" s="491">
        <f t="shared" ref="AS23:AS24" si="42">O23+AL23</f>
        <v>8.2899999999999991</v>
      </c>
    </row>
    <row r="24" spans="1:45" s="152" customFormat="1" ht="12.75" customHeight="1" x14ac:dyDescent="0.2">
      <c r="A24" s="154">
        <v>5</v>
      </c>
      <c r="B24" s="155">
        <v>3464</v>
      </c>
      <c r="C24" s="155">
        <v>691001316</v>
      </c>
      <c r="D24" s="155">
        <v>72048140</v>
      </c>
      <c r="E24" s="156" t="s">
        <v>15</v>
      </c>
      <c r="F24" s="155">
        <v>3111</v>
      </c>
      <c r="G24" s="156" t="s">
        <v>278</v>
      </c>
      <c r="H24" s="157" t="s">
        <v>263</v>
      </c>
      <c r="I24" s="580">
        <v>1203640</v>
      </c>
      <c r="J24" s="323">
        <v>892908</v>
      </c>
      <c r="K24" s="410">
        <v>0</v>
      </c>
      <c r="L24" s="431">
        <v>301803</v>
      </c>
      <c r="M24" s="431">
        <v>8929</v>
      </c>
      <c r="N24" s="431">
        <v>0</v>
      </c>
      <c r="O24" s="748">
        <v>2.25</v>
      </c>
      <c r="P24" s="440">
        <f>W24*-1</f>
        <v>0</v>
      </c>
      <c r="Q24" s="325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 t="shared" si="33"/>
        <v>0</v>
      </c>
      <c r="W24" s="325">
        <v>0</v>
      </c>
      <c r="X24" s="325">
        <v>0</v>
      </c>
      <c r="Y24" s="325">
        <v>0</v>
      </c>
      <c r="Z24" s="492">
        <f t="shared" si="34"/>
        <v>0</v>
      </c>
      <c r="AA24" s="492">
        <f t="shared" si="35"/>
        <v>0</v>
      </c>
      <c r="AB24" s="494">
        <f t="shared" si="36"/>
        <v>0</v>
      </c>
      <c r="AC24" s="494">
        <f t="shared" si="37"/>
        <v>0</v>
      </c>
      <c r="AD24" s="492">
        <v>0</v>
      </c>
      <c r="AE24" s="753">
        <f t="shared" si="38"/>
        <v>0</v>
      </c>
      <c r="AF24" s="688">
        <v>0</v>
      </c>
      <c r="AG24" s="326">
        <v>0</v>
      </c>
      <c r="AH24" s="326">
        <v>0</v>
      </c>
      <c r="AI24" s="326">
        <v>0</v>
      </c>
      <c r="AJ24" s="326">
        <v>0</v>
      </c>
      <c r="AK24" s="326">
        <v>0</v>
      </c>
      <c r="AL24" s="609">
        <f t="shared" si="39"/>
        <v>0</v>
      </c>
      <c r="AM24" s="493">
        <f>I24+AE24</f>
        <v>1203640</v>
      </c>
      <c r="AN24" s="492">
        <f>J24+V24</f>
        <v>892908</v>
      </c>
      <c r="AO24" s="573">
        <f t="shared" si="40"/>
        <v>0</v>
      </c>
      <c r="AP24" s="492">
        <f>L24+AB24</f>
        <v>301803</v>
      </c>
      <c r="AQ24" s="492">
        <f>M24+AC24</f>
        <v>8929</v>
      </c>
      <c r="AR24" s="573">
        <f t="shared" si="41"/>
        <v>0</v>
      </c>
      <c r="AS24" s="491">
        <f t="shared" si="42"/>
        <v>2.25</v>
      </c>
    </row>
    <row r="25" spans="1:45" s="152" customFormat="1" ht="12.75" customHeight="1" x14ac:dyDescent="0.2">
      <c r="A25" s="105">
        <v>5</v>
      </c>
      <c r="B25" s="12">
        <v>3464</v>
      </c>
      <c r="C25" s="104">
        <v>691001316</v>
      </c>
      <c r="D25" s="104">
        <v>72048140</v>
      </c>
      <c r="E25" s="153" t="s">
        <v>16</v>
      </c>
      <c r="F25" s="12"/>
      <c r="G25" s="153"/>
      <c r="H25" s="407"/>
      <c r="I25" s="746">
        <v>7918949</v>
      </c>
      <c r="J25" s="378">
        <v>5857916</v>
      </c>
      <c r="K25" s="378">
        <v>16800</v>
      </c>
      <c r="L25" s="378">
        <v>1985654</v>
      </c>
      <c r="M25" s="378">
        <v>58579</v>
      </c>
      <c r="N25" s="378">
        <v>0</v>
      </c>
      <c r="O25" s="340">
        <v>10.54</v>
      </c>
      <c r="P25" s="444">
        <f t="shared" ref="P25:AS25" si="43">SUM(P23:P24)</f>
        <v>-11200</v>
      </c>
      <c r="Q25" s="378">
        <f t="shared" si="43"/>
        <v>0</v>
      </c>
      <c r="R25" s="378">
        <f t="shared" si="43"/>
        <v>0</v>
      </c>
      <c r="S25" s="378">
        <f t="shared" si="43"/>
        <v>0</v>
      </c>
      <c r="T25" s="378">
        <f t="shared" si="43"/>
        <v>0</v>
      </c>
      <c r="U25" s="378">
        <f t="shared" si="43"/>
        <v>0</v>
      </c>
      <c r="V25" s="378">
        <f t="shared" si="43"/>
        <v>-11200</v>
      </c>
      <c r="W25" s="378">
        <f t="shared" si="43"/>
        <v>11200</v>
      </c>
      <c r="X25" s="378">
        <f t="shared" si="43"/>
        <v>0</v>
      </c>
      <c r="Y25" s="378">
        <f t="shared" si="43"/>
        <v>0</v>
      </c>
      <c r="Z25" s="378">
        <f t="shared" si="43"/>
        <v>11200</v>
      </c>
      <c r="AA25" s="378">
        <f t="shared" si="43"/>
        <v>0</v>
      </c>
      <c r="AB25" s="378">
        <f t="shared" si="43"/>
        <v>0</v>
      </c>
      <c r="AC25" s="378">
        <f t="shared" si="43"/>
        <v>-112</v>
      </c>
      <c r="AD25" s="378">
        <f t="shared" si="43"/>
        <v>0</v>
      </c>
      <c r="AE25" s="752">
        <f t="shared" si="43"/>
        <v>-112</v>
      </c>
      <c r="AF25" s="754">
        <f t="shared" si="43"/>
        <v>0</v>
      </c>
      <c r="AG25" s="398">
        <f t="shared" si="43"/>
        <v>0</v>
      </c>
      <c r="AH25" s="398">
        <f t="shared" si="43"/>
        <v>0</v>
      </c>
      <c r="AI25" s="398">
        <f t="shared" si="43"/>
        <v>0</v>
      </c>
      <c r="AJ25" s="398">
        <f t="shared" si="43"/>
        <v>0</v>
      </c>
      <c r="AK25" s="398">
        <f t="shared" si="43"/>
        <v>0</v>
      </c>
      <c r="AL25" s="340">
        <f t="shared" si="43"/>
        <v>0</v>
      </c>
      <c r="AM25" s="444">
        <f t="shared" si="43"/>
        <v>7918837</v>
      </c>
      <c r="AN25" s="378">
        <f t="shared" si="43"/>
        <v>5846716</v>
      </c>
      <c r="AO25" s="378">
        <f t="shared" si="43"/>
        <v>28000</v>
      </c>
      <c r="AP25" s="378">
        <f t="shared" si="43"/>
        <v>1985654</v>
      </c>
      <c r="AQ25" s="378">
        <f t="shared" si="43"/>
        <v>58467</v>
      </c>
      <c r="AR25" s="378">
        <f t="shared" si="43"/>
        <v>0</v>
      </c>
      <c r="AS25" s="398">
        <f t="shared" si="43"/>
        <v>10.54</v>
      </c>
    </row>
    <row r="26" spans="1:45" s="152" customFormat="1" ht="12.75" customHeight="1" x14ac:dyDescent="0.2">
      <c r="A26" s="154">
        <v>6</v>
      </c>
      <c r="B26" s="155">
        <v>3453</v>
      </c>
      <c r="C26" s="155">
        <v>667101411</v>
      </c>
      <c r="D26" s="155">
        <v>75109522</v>
      </c>
      <c r="E26" s="156" t="s">
        <v>17</v>
      </c>
      <c r="F26" s="155">
        <v>3111</v>
      </c>
      <c r="G26" s="156" t="s">
        <v>277</v>
      </c>
      <c r="H26" s="157" t="s">
        <v>262</v>
      </c>
      <c r="I26" s="610">
        <v>5017200</v>
      </c>
      <c r="J26" s="410">
        <v>3721958</v>
      </c>
      <c r="K26" s="410">
        <v>0</v>
      </c>
      <c r="L26" s="431">
        <v>1258022</v>
      </c>
      <c r="M26" s="431">
        <v>37220</v>
      </c>
      <c r="N26" s="431">
        <v>0</v>
      </c>
      <c r="O26" s="747">
        <v>6</v>
      </c>
      <c r="P26" s="445">
        <f>W26*-1</f>
        <v>0</v>
      </c>
      <c r="Q26" s="325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>P26+Q26+R26+S26+T26+U26</f>
        <v>0</v>
      </c>
      <c r="W26" s="325">
        <v>0</v>
      </c>
      <c r="X26" s="325">
        <v>0</v>
      </c>
      <c r="Y26" s="325">
        <v>0</v>
      </c>
      <c r="Z26" s="492">
        <f>W26+X26+Y26</f>
        <v>0</v>
      </c>
      <c r="AA26" s="492">
        <f>V26+Z26</f>
        <v>0</v>
      </c>
      <c r="AB26" s="494">
        <f>ROUND((V26+Z26)*33.8%,0)</f>
        <v>0</v>
      </c>
      <c r="AC26" s="494">
        <f>ROUND(V26*1%,0)</f>
        <v>0</v>
      </c>
      <c r="AD26" s="492">
        <v>0</v>
      </c>
      <c r="AE26" s="753">
        <f>AA26+AB26+AC26+AD26</f>
        <v>0</v>
      </c>
      <c r="AF26" s="688">
        <v>0</v>
      </c>
      <c r="AG26" s="326">
        <v>0</v>
      </c>
      <c r="AH26" s="326">
        <v>0</v>
      </c>
      <c r="AI26" s="326">
        <v>0</v>
      </c>
      <c r="AJ26" s="326">
        <v>0</v>
      </c>
      <c r="AK26" s="326">
        <v>0</v>
      </c>
      <c r="AL26" s="609">
        <f>SUM(AF26:AK26)</f>
        <v>0</v>
      </c>
      <c r="AM26" s="493">
        <f>I26+AE26</f>
        <v>5017200</v>
      </c>
      <c r="AN26" s="492">
        <f>J26+V26</f>
        <v>3721958</v>
      </c>
      <c r="AO26" s="573">
        <f>K26+Z26</f>
        <v>0</v>
      </c>
      <c r="AP26" s="492">
        <f>L26+AB26</f>
        <v>1258022</v>
      </c>
      <c r="AQ26" s="492">
        <f>M26+AC26</f>
        <v>37220</v>
      </c>
      <c r="AR26" s="573">
        <f>N26+AD26</f>
        <v>0</v>
      </c>
      <c r="AS26" s="491">
        <f>O26+AL26</f>
        <v>6</v>
      </c>
    </row>
    <row r="27" spans="1:45" s="152" customFormat="1" ht="12.75" customHeight="1" x14ac:dyDescent="0.2">
      <c r="A27" s="105">
        <v>6</v>
      </c>
      <c r="B27" s="12">
        <v>3453</v>
      </c>
      <c r="C27" s="104">
        <v>667101411</v>
      </c>
      <c r="D27" s="104">
        <v>75109522</v>
      </c>
      <c r="E27" s="153" t="s">
        <v>18</v>
      </c>
      <c r="F27" s="12"/>
      <c r="G27" s="153"/>
      <c r="H27" s="407"/>
      <c r="I27" s="746">
        <v>5017200</v>
      </c>
      <c r="J27" s="378">
        <v>3721958</v>
      </c>
      <c r="K27" s="378">
        <v>0</v>
      </c>
      <c r="L27" s="378">
        <v>1258022</v>
      </c>
      <c r="M27" s="378">
        <v>37220</v>
      </c>
      <c r="N27" s="378">
        <v>0</v>
      </c>
      <c r="O27" s="340">
        <v>6</v>
      </c>
      <c r="P27" s="444">
        <f t="shared" ref="P27:AS27" si="44">SUM(P26:P26)</f>
        <v>0</v>
      </c>
      <c r="Q27" s="378">
        <f t="shared" si="44"/>
        <v>0</v>
      </c>
      <c r="R27" s="378">
        <f t="shared" si="44"/>
        <v>0</v>
      </c>
      <c r="S27" s="378">
        <f t="shared" si="44"/>
        <v>0</v>
      </c>
      <c r="T27" s="378">
        <f t="shared" si="44"/>
        <v>0</v>
      </c>
      <c r="U27" s="378">
        <f t="shared" si="44"/>
        <v>0</v>
      </c>
      <c r="V27" s="378">
        <f t="shared" si="44"/>
        <v>0</v>
      </c>
      <c r="W27" s="378">
        <f t="shared" si="44"/>
        <v>0</v>
      </c>
      <c r="X27" s="378">
        <f t="shared" si="44"/>
        <v>0</v>
      </c>
      <c r="Y27" s="378">
        <f t="shared" si="44"/>
        <v>0</v>
      </c>
      <c r="Z27" s="378">
        <f t="shared" si="44"/>
        <v>0</v>
      </c>
      <c r="AA27" s="378">
        <f t="shared" si="44"/>
        <v>0</v>
      </c>
      <c r="AB27" s="378">
        <f t="shared" si="44"/>
        <v>0</v>
      </c>
      <c r="AC27" s="378">
        <f t="shared" si="44"/>
        <v>0</v>
      </c>
      <c r="AD27" s="378">
        <f t="shared" si="44"/>
        <v>0</v>
      </c>
      <c r="AE27" s="752">
        <f t="shared" si="44"/>
        <v>0</v>
      </c>
      <c r="AF27" s="754">
        <f t="shared" si="44"/>
        <v>0</v>
      </c>
      <c r="AG27" s="398">
        <f t="shared" si="44"/>
        <v>0</v>
      </c>
      <c r="AH27" s="398">
        <f t="shared" si="44"/>
        <v>0</v>
      </c>
      <c r="AI27" s="398">
        <f t="shared" si="44"/>
        <v>0</v>
      </c>
      <c r="AJ27" s="398">
        <f t="shared" si="44"/>
        <v>0</v>
      </c>
      <c r="AK27" s="398">
        <f t="shared" si="44"/>
        <v>0</v>
      </c>
      <c r="AL27" s="340">
        <f t="shared" si="44"/>
        <v>0</v>
      </c>
      <c r="AM27" s="444">
        <f t="shared" si="44"/>
        <v>5017200</v>
      </c>
      <c r="AN27" s="378">
        <f t="shared" si="44"/>
        <v>3721958</v>
      </c>
      <c r="AO27" s="378">
        <f t="shared" si="44"/>
        <v>0</v>
      </c>
      <c r="AP27" s="378">
        <f t="shared" si="44"/>
        <v>1258022</v>
      </c>
      <c r="AQ27" s="378">
        <f t="shared" si="44"/>
        <v>37220</v>
      </c>
      <c r="AR27" s="378">
        <f t="shared" si="44"/>
        <v>0</v>
      </c>
      <c r="AS27" s="398">
        <f t="shared" si="44"/>
        <v>6</v>
      </c>
    </row>
    <row r="28" spans="1:45" s="152" customFormat="1" ht="12.75" customHeight="1" x14ac:dyDescent="0.2">
      <c r="A28" s="154">
        <v>7</v>
      </c>
      <c r="B28" s="155">
        <v>3471</v>
      </c>
      <c r="C28" s="155">
        <v>691003491</v>
      </c>
      <c r="D28" s="155">
        <v>72550376</v>
      </c>
      <c r="E28" s="156" t="s">
        <v>19</v>
      </c>
      <c r="F28" s="155">
        <v>3111</v>
      </c>
      <c r="G28" s="156" t="s">
        <v>277</v>
      </c>
      <c r="H28" s="157" t="s">
        <v>262</v>
      </c>
      <c r="I28" s="610">
        <v>6537544</v>
      </c>
      <c r="J28" s="410">
        <v>4849810</v>
      </c>
      <c r="K28" s="410">
        <v>0</v>
      </c>
      <c r="L28" s="431">
        <v>1639236</v>
      </c>
      <c r="M28" s="431">
        <v>48498</v>
      </c>
      <c r="N28" s="431">
        <v>0</v>
      </c>
      <c r="O28" s="747">
        <v>8</v>
      </c>
      <c r="P28" s="445">
        <f>W28*-1</f>
        <v>0</v>
      </c>
      <c r="Q28" s="325">
        <v>0</v>
      </c>
      <c r="R28" s="325">
        <v>0</v>
      </c>
      <c r="S28" s="325">
        <v>0</v>
      </c>
      <c r="T28" s="325">
        <v>0</v>
      </c>
      <c r="U28" s="325">
        <v>0</v>
      </c>
      <c r="V28" s="492">
        <f t="shared" ref="V28:V29" si="45">P28+Q28+R28+S28+T28+U28</f>
        <v>0</v>
      </c>
      <c r="W28" s="325">
        <v>0</v>
      </c>
      <c r="X28" s="325">
        <v>0</v>
      </c>
      <c r="Y28" s="325">
        <v>0</v>
      </c>
      <c r="Z28" s="492">
        <f t="shared" ref="Z28:Z29" si="46">W28+X28+Y28</f>
        <v>0</v>
      </c>
      <c r="AA28" s="492">
        <f t="shared" ref="AA28:AA29" si="47">V28+Z28</f>
        <v>0</v>
      </c>
      <c r="AB28" s="494">
        <f t="shared" ref="AB28:AB29" si="48">ROUND((V28+Z28)*33.8%,0)</f>
        <v>0</v>
      </c>
      <c r="AC28" s="494">
        <f t="shared" ref="AC28:AC29" si="49">ROUND(V28*1%,0)</f>
        <v>0</v>
      </c>
      <c r="AD28" s="492">
        <v>0</v>
      </c>
      <c r="AE28" s="753">
        <f t="shared" ref="AE28:AE29" si="50">AA28+AB28+AC28+AD28</f>
        <v>0</v>
      </c>
      <c r="AF28" s="688">
        <v>0</v>
      </c>
      <c r="AG28" s="326">
        <v>0</v>
      </c>
      <c r="AH28" s="326">
        <v>0</v>
      </c>
      <c r="AI28" s="326">
        <v>0</v>
      </c>
      <c r="AJ28" s="326">
        <v>0</v>
      </c>
      <c r="AK28" s="326">
        <v>0</v>
      </c>
      <c r="AL28" s="609">
        <f t="shared" ref="AL28:AL29" si="51">SUM(AF28:AK28)</f>
        <v>0</v>
      </c>
      <c r="AM28" s="493">
        <f>I28+AE28</f>
        <v>6537544</v>
      </c>
      <c r="AN28" s="492">
        <f>J28+V28</f>
        <v>4849810</v>
      </c>
      <c r="AO28" s="573">
        <f t="shared" ref="AO28:AO29" si="52">K28+Z28</f>
        <v>0</v>
      </c>
      <c r="AP28" s="492">
        <f>L28+AB28</f>
        <v>1639236</v>
      </c>
      <c r="AQ28" s="492">
        <f>M28+AC28</f>
        <v>48498</v>
      </c>
      <c r="AR28" s="573">
        <f t="shared" ref="AR28:AR29" si="53">N28+AD28</f>
        <v>0</v>
      </c>
      <c r="AS28" s="491">
        <f t="shared" ref="AS28:AS29" si="54">O28+AL28</f>
        <v>8</v>
      </c>
    </row>
    <row r="29" spans="1:45" s="152" customFormat="1" ht="12.75" customHeight="1" x14ac:dyDescent="0.2">
      <c r="A29" s="154">
        <v>7</v>
      </c>
      <c r="B29" s="155">
        <v>3471</v>
      </c>
      <c r="C29" s="155">
        <v>691003491</v>
      </c>
      <c r="D29" s="155">
        <v>72550376</v>
      </c>
      <c r="E29" s="156" t="s">
        <v>19</v>
      </c>
      <c r="F29" s="155">
        <v>3111</v>
      </c>
      <c r="G29" s="156" t="s">
        <v>278</v>
      </c>
      <c r="H29" s="157" t="s">
        <v>263</v>
      </c>
      <c r="I29" s="580">
        <v>0</v>
      </c>
      <c r="J29" s="323">
        <v>0</v>
      </c>
      <c r="K29" s="410">
        <v>0</v>
      </c>
      <c r="L29" s="431">
        <v>0</v>
      </c>
      <c r="M29" s="431">
        <v>0</v>
      </c>
      <c r="N29" s="431">
        <v>0</v>
      </c>
      <c r="O29" s="748">
        <v>0</v>
      </c>
      <c r="P29" s="440">
        <f>W29*-1</f>
        <v>0</v>
      </c>
      <c r="Q29" s="325">
        <v>0</v>
      </c>
      <c r="R29" s="325">
        <v>0</v>
      </c>
      <c r="S29" s="325">
        <v>0</v>
      </c>
      <c r="T29" s="325">
        <v>0</v>
      </c>
      <c r="U29" s="325">
        <v>0</v>
      </c>
      <c r="V29" s="492">
        <f t="shared" si="45"/>
        <v>0</v>
      </c>
      <c r="W29" s="325">
        <v>0</v>
      </c>
      <c r="X29" s="325">
        <v>0</v>
      </c>
      <c r="Y29" s="325">
        <v>0</v>
      </c>
      <c r="Z29" s="492">
        <f t="shared" si="46"/>
        <v>0</v>
      </c>
      <c r="AA29" s="492">
        <f t="shared" si="47"/>
        <v>0</v>
      </c>
      <c r="AB29" s="494">
        <f t="shared" si="48"/>
        <v>0</v>
      </c>
      <c r="AC29" s="494">
        <f t="shared" si="49"/>
        <v>0</v>
      </c>
      <c r="AD29" s="492">
        <v>0</v>
      </c>
      <c r="AE29" s="753">
        <f t="shared" si="50"/>
        <v>0</v>
      </c>
      <c r="AF29" s="688">
        <v>0</v>
      </c>
      <c r="AG29" s="326">
        <v>0</v>
      </c>
      <c r="AH29" s="326">
        <v>0</v>
      </c>
      <c r="AI29" s="326">
        <v>0</v>
      </c>
      <c r="AJ29" s="326">
        <v>0</v>
      </c>
      <c r="AK29" s="326">
        <v>0</v>
      </c>
      <c r="AL29" s="609">
        <f t="shared" si="51"/>
        <v>0</v>
      </c>
      <c r="AM29" s="493">
        <f>I29+AE29</f>
        <v>0</v>
      </c>
      <c r="AN29" s="492">
        <f>J29+V29</f>
        <v>0</v>
      </c>
      <c r="AO29" s="573">
        <f t="shared" si="52"/>
        <v>0</v>
      </c>
      <c r="AP29" s="492">
        <f>L29+AB29</f>
        <v>0</v>
      </c>
      <c r="AQ29" s="492">
        <f>M29+AC29</f>
        <v>0</v>
      </c>
      <c r="AR29" s="573">
        <f t="shared" si="53"/>
        <v>0</v>
      </c>
      <c r="AS29" s="491">
        <f t="shared" si="54"/>
        <v>0</v>
      </c>
    </row>
    <row r="30" spans="1:45" s="152" customFormat="1" ht="12.75" customHeight="1" x14ac:dyDescent="0.2">
      <c r="A30" s="105">
        <v>7</v>
      </c>
      <c r="B30" s="12">
        <v>3471</v>
      </c>
      <c r="C30" s="104">
        <v>691003491</v>
      </c>
      <c r="D30" s="104">
        <v>72550376</v>
      </c>
      <c r="E30" s="153" t="s">
        <v>20</v>
      </c>
      <c r="F30" s="12"/>
      <c r="G30" s="153"/>
      <c r="H30" s="407"/>
      <c r="I30" s="746">
        <v>6537544</v>
      </c>
      <c r="J30" s="378">
        <v>4849810</v>
      </c>
      <c r="K30" s="378">
        <v>0</v>
      </c>
      <c r="L30" s="378">
        <v>1639236</v>
      </c>
      <c r="M30" s="378">
        <v>48498</v>
      </c>
      <c r="N30" s="378">
        <v>0</v>
      </c>
      <c r="O30" s="340">
        <v>8</v>
      </c>
      <c r="P30" s="444">
        <f t="shared" ref="P30:AS30" si="55">SUM(P28:P29)</f>
        <v>0</v>
      </c>
      <c r="Q30" s="378">
        <f t="shared" si="55"/>
        <v>0</v>
      </c>
      <c r="R30" s="378">
        <f t="shared" si="55"/>
        <v>0</v>
      </c>
      <c r="S30" s="378">
        <f t="shared" si="55"/>
        <v>0</v>
      </c>
      <c r="T30" s="378">
        <f t="shared" si="55"/>
        <v>0</v>
      </c>
      <c r="U30" s="378">
        <f t="shared" si="55"/>
        <v>0</v>
      </c>
      <c r="V30" s="378">
        <f t="shared" si="55"/>
        <v>0</v>
      </c>
      <c r="W30" s="378">
        <f t="shared" si="55"/>
        <v>0</v>
      </c>
      <c r="X30" s="378">
        <f t="shared" si="55"/>
        <v>0</v>
      </c>
      <c r="Y30" s="378">
        <f t="shared" si="55"/>
        <v>0</v>
      </c>
      <c r="Z30" s="378">
        <f t="shared" si="55"/>
        <v>0</v>
      </c>
      <c r="AA30" s="378">
        <f t="shared" si="55"/>
        <v>0</v>
      </c>
      <c r="AB30" s="378">
        <f t="shared" si="55"/>
        <v>0</v>
      </c>
      <c r="AC30" s="378">
        <f t="shared" si="55"/>
        <v>0</v>
      </c>
      <c r="AD30" s="378">
        <f t="shared" si="55"/>
        <v>0</v>
      </c>
      <c r="AE30" s="752">
        <f t="shared" si="55"/>
        <v>0</v>
      </c>
      <c r="AF30" s="754">
        <f t="shared" si="55"/>
        <v>0</v>
      </c>
      <c r="AG30" s="398">
        <f t="shared" si="55"/>
        <v>0</v>
      </c>
      <c r="AH30" s="398">
        <f t="shared" si="55"/>
        <v>0</v>
      </c>
      <c r="AI30" s="398">
        <f t="shared" si="55"/>
        <v>0</v>
      </c>
      <c r="AJ30" s="398">
        <f t="shared" si="55"/>
        <v>0</v>
      </c>
      <c r="AK30" s="398">
        <f t="shared" si="55"/>
        <v>0</v>
      </c>
      <c r="AL30" s="340">
        <f t="shared" si="55"/>
        <v>0</v>
      </c>
      <c r="AM30" s="444">
        <f t="shared" si="55"/>
        <v>6537544</v>
      </c>
      <c r="AN30" s="378">
        <f t="shared" si="55"/>
        <v>4849810</v>
      </c>
      <c r="AO30" s="378">
        <f t="shared" si="55"/>
        <v>0</v>
      </c>
      <c r="AP30" s="378">
        <f t="shared" si="55"/>
        <v>1639236</v>
      </c>
      <c r="AQ30" s="378">
        <f t="shared" si="55"/>
        <v>48498</v>
      </c>
      <c r="AR30" s="378">
        <f t="shared" si="55"/>
        <v>0</v>
      </c>
      <c r="AS30" s="398">
        <f t="shared" si="55"/>
        <v>8</v>
      </c>
    </row>
    <row r="31" spans="1:45" s="152" customFormat="1" ht="12.75" customHeight="1" x14ac:dyDescent="0.2">
      <c r="A31" s="154">
        <v>8</v>
      </c>
      <c r="B31" s="155">
        <v>3472</v>
      </c>
      <c r="C31" s="155">
        <v>691003564</v>
      </c>
      <c r="D31" s="155">
        <v>72550368</v>
      </c>
      <c r="E31" s="156" t="s">
        <v>21</v>
      </c>
      <c r="F31" s="155">
        <v>3111</v>
      </c>
      <c r="G31" s="156" t="s">
        <v>277</v>
      </c>
      <c r="H31" s="157" t="s">
        <v>262</v>
      </c>
      <c r="I31" s="610">
        <v>4567952</v>
      </c>
      <c r="J31" s="410">
        <v>3388688</v>
      </c>
      <c r="K31" s="410">
        <v>0</v>
      </c>
      <c r="L31" s="431">
        <v>1145377</v>
      </c>
      <c r="M31" s="431">
        <v>33887</v>
      </c>
      <c r="N31" s="431">
        <v>0</v>
      </c>
      <c r="O31" s="747">
        <v>6</v>
      </c>
      <c r="P31" s="445">
        <f>W31*-1</f>
        <v>0</v>
      </c>
      <c r="Q31" s="325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 t="shared" ref="V31:V32" si="56">P31+Q31+R31+S31+T31+U31</f>
        <v>0</v>
      </c>
      <c r="W31" s="325">
        <v>0</v>
      </c>
      <c r="X31" s="325">
        <v>0</v>
      </c>
      <c r="Y31" s="325">
        <v>0</v>
      </c>
      <c r="Z31" s="492">
        <f t="shared" ref="Z31:Z32" si="57">W31+X31+Y31</f>
        <v>0</v>
      </c>
      <c r="AA31" s="492">
        <f t="shared" ref="AA31:AA32" si="58">V31+Z31</f>
        <v>0</v>
      </c>
      <c r="AB31" s="494">
        <f t="shared" ref="AB31:AB32" si="59">ROUND((V31+Z31)*33.8%,0)</f>
        <v>0</v>
      </c>
      <c r="AC31" s="494">
        <f t="shared" ref="AC31:AC32" si="60">ROUND(V31*1%,0)</f>
        <v>0</v>
      </c>
      <c r="AD31" s="492">
        <v>0</v>
      </c>
      <c r="AE31" s="753">
        <f t="shared" ref="AE31:AE32" si="61">AA31+AB31+AC31+AD31</f>
        <v>0</v>
      </c>
      <c r="AF31" s="688">
        <v>0</v>
      </c>
      <c r="AG31" s="326">
        <v>0</v>
      </c>
      <c r="AH31" s="326">
        <v>0</v>
      </c>
      <c r="AI31" s="326">
        <v>0</v>
      </c>
      <c r="AJ31" s="326">
        <v>0</v>
      </c>
      <c r="AK31" s="326">
        <v>0</v>
      </c>
      <c r="AL31" s="609">
        <f t="shared" ref="AL31:AL32" si="62">SUM(AF31:AK31)</f>
        <v>0</v>
      </c>
      <c r="AM31" s="493">
        <f>I31+AE31</f>
        <v>4567952</v>
      </c>
      <c r="AN31" s="492">
        <f>J31+V31</f>
        <v>3388688</v>
      </c>
      <c r="AO31" s="573">
        <f t="shared" ref="AO31:AO32" si="63">K31+Z31</f>
        <v>0</v>
      </c>
      <c r="AP31" s="492">
        <f>L31+AB31</f>
        <v>1145377</v>
      </c>
      <c r="AQ31" s="492">
        <f>M31+AC31</f>
        <v>33887</v>
      </c>
      <c r="AR31" s="573">
        <f t="shared" ref="AR31:AR32" si="64">N31+AD31</f>
        <v>0</v>
      </c>
      <c r="AS31" s="491">
        <f t="shared" ref="AS31:AS32" si="65">O31+AL31</f>
        <v>6</v>
      </c>
    </row>
    <row r="32" spans="1:45" s="152" customFormat="1" ht="12.75" customHeight="1" x14ac:dyDescent="0.2">
      <c r="A32" s="154">
        <v>8</v>
      </c>
      <c r="B32" s="155">
        <v>3472</v>
      </c>
      <c r="C32" s="155">
        <v>691003564</v>
      </c>
      <c r="D32" s="155">
        <v>72550368</v>
      </c>
      <c r="E32" s="156" t="s">
        <v>21</v>
      </c>
      <c r="F32" s="155">
        <v>3111</v>
      </c>
      <c r="G32" s="156" t="s">
        <v>278</v>
      </c>
      <c r="H32" s="157" t="s">
        <v>263</v>
      </c>
      <c r="I32" s="580">
        <v>668689</v>
      </c>
      <c r="J32" s="323">
        <v>496060</v>
      </c>
      <c r="K32" s="410">
        <v>0</v>
      </c>
      <c r="L32" s="431">
        <v>167668</v>
      </c>
      <c r="M32" s="431">
        <v>4961</v>
      </c>
      <c r="N32" s="431">
        <v>0</v>
      </c>
      <c r="O32" s="748">
        <v>1.25</v>
      </c>
      <c r="P32" s="440">
        <f>W32*-1</f>
        <v>0</v>
      </c>
      <c r="Q32" s="325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 t="shared" si="56"/>
        <v>0</v>
      </c>
      <c r="W32" s="325">
        <v>0</v>
      </c>
      <c r="X32" s="325">
        <v>0</v>
      </c>
      <c r="Y32" s="325">
        <v>0</v>
      </c>
      <c r="Z32" s="492">
        <f t="shared" si="57"/>
        <v>0</v>
      </c>
      <c r="AA32" s="492">
        <f t="shared" si="58"/>
        <v>0</v>
      </c>
      <c r="AB32" s="494">
        <f t="shared" si="59"/>
        <v>0</v>
      </c>
      <c r="AC32" s="494">
        <f t="shared" si="60"/>
        <v>0</v>
      </c>
      <c r="AD32" s="492">
        <v>0</v>
      </c>
      <c r="AE32" s="753">
        <f t="shared" si="61"/>
        <v>0</v>
      </c>
      <c r="AF32" s="688">
        <v>0</v>
      </c>
      <c r="AG32" s="326">
        <v>0</v>
      </c>
      <c r="AH32" s="326">
        <v>0</v>
      </c>
      <c r="AI32" s="326">
        <v>0</v>
      </c>
      <c r="AJ32" s="326">
        <v>0</v>
      </c>
      <c r="AK32" s="326">
        <v>0</v>
      </c>
      <c r="AL32" s="609">
        <f t="shared" si="62"/>
        <v>0</v>
      </c>
      <c r="AM32" s="493">
        <f>I32+AE32</f>
        <v>668689</v>
      </c>
      <c r="AN32" s="492">
        <f>J32+V32</f>
        <v>496060</v>
      </c>
      <c r="AO32" s="573">
        <f t="shared" si="63"/>
        <v>0</v>
      </c>
      <c r="AP32" s="492">
        <f>L32+AB32</f>
        <v>167668</v>
      </c>
      <c r="AQ32" s="492">
        <f>M32+AC32</f>
        <v>4961</v>
      </c>
      <c r="AR32" s="573">
        <f t="shared" si="64"/>
        <v>0</v>
      </c>
      <c r="AS32" s="491">
        <f t="shared" si="65"/>
        <v>1.25</v>
      </c>
    </row>
    <row r="33" spans="1:45" s="152" customFormat="1" ht="12.75" customHeight="1" x14ac:dyDescent="0.2">
      <c r="A33" s="105">
        <v>8</v>
      </c>
      <c r="B33" s="12">
        <v>3472</v>
      </c>
      <c r="C33" s="104">
        <v>691003564</v>
      </c>
      <c r="D33" s="104">
        <v>72550368</v>
      </c>
      <c r="E33" s="153" t="s">
        <v>22</v>
      </c>
      <c r="F33" s="12"/>
      <c r="G33" s="153"/>
      <c r="H33" s="407"/>
      <c r="I33" s="746">
        <v>5236641</v>
      </c>
      <c r="J33" s="378">
        <v>3884748</v>
      </c>
      <c r="K33" s="378">
        <v>0</v>
      </c>
      <c r="L33" s="378">
        <v>1313045</v>
      </c>
      <c r="M33" s="378">
        <v>38848</v>
      </c>
      <c r="N33" s="378">
        <v>0</v>
      </c>
      <c r="O33" s="340">
        <v>7.25</v>
      </c>
      <c r="P33" s="444">
        <f t="shared" ref="P33:AS33" si="66">SUM(P31:P32)</f>
        <v>0</v>
      </c>
      <c r="Q33" s="378">
        <f t="shared" si="66"/>
        <v>0</v>
      </c>
      <c r="R33" s="378">
        <f t="shared" si="66"/>
        <v>0</v>
      </c>
      <c r="S33" s="378">
        <f t="shared" si="66"/>
        <v>0</v>
      </c>
      <c r="T33" s="378">
        <f t="shared" si="66"/>
        <v>0</v>
      </c>
      <c r="U33" s="378">
        <f t="shared" si="66"/>
        <v>0</v>
      </c>
      <c r="V33" s="378">
        <f t="shared" si="66"/>
        <v>0</v>
      </c>
      <c r="W33" s="378">
        <f t="shared" si="66"/>
        <v>0</v>
      </c>
      <c r="X33" s="378">
        <f t="shared" si="66"/>
        <v>0</v>
      </c>
      <c r="Y33" s="378">
        <f t="shared" si="66"/>
        <v>0</v>
      </c>
      <c r="Z33" s="378">
        <f t="shared" si="66"/>
        <v>0</v>
      </c>
      <c r="AA33" s="378">
        <f t="shared" si="66"/>
        <v>0</v>
      </c>
      <c r="AB33" s="378">
        <f t="shared" si="66"/>
        <v>0</v>
      </c>
      <c r="AC33" s="378">
        <f t="shared" si="66"/>
        <v>0</v>
      </c>
      <c r="AD33" s="378">
        <f t="shared" si="66"/>
        <v>0</v>
      </c>
      <c r="AE33" s="752">
        <f t="shared" si="66"/>
        <v>0</v>
      </c>
      <c r="AF33" s="754">
        <f t="shared" si="66"/>
        <v>0</v>
      </c>
      <c r="AG33" s="398">
        <f t="shared" si="66"/>
        <v>0</v>
      </c>
      <c r="AH33" s="398">
        <f t="shared" si="66"/>
        <v>0</v>
      </c>
      <c r="AI33" s="398">
        <f t="shared" si="66"/>
        <v>0</v>
      </c>
      <c r="AJ33" s="398">
        <f t="shared" si="66"/>
        <v>0</v>
      </c>
      <c r="AK33" s="398">
        <f t="shared" si="66"/>
        <v>0</v>
      </c>
      <c r="AL33" s="340">
        <f t="shared" si="66"/>
        <v>0</v>
      </c>
      <c r="AM33" s="444">
        <f t="shared" si="66"/>
        <v>5236641</v>
      </c>
      <c r="AN33" s="378">
        <f t="shared" si="66"/>
        <v>3884748</v>
      </c>
      <c r="AO33" s="378">
        <f t="shared" si="66"/>
        <v>0</v>
      </c>
      <c r="AP33" s="378">
        <f t="shared" si="66"/>
        <v>1313045</v>
      </c>
      <c r="AQ33" s="378">
        <f t="shared" si="66"/>
        <v>38848</v>
      </c>
      <c r="AR33" s="378">
        <f t="shared" si="66"/>
        <v>0</v>
      </c>
      <c r="AS33" s="398">
        <f t="shared" si="66"/>
        <v>7.25</v>
      </c>
    </row>
    <row r="34" spans="1:45" s="152" customFormat="1" ht="12.75" customHeight="1" x14ac:dyDescent="0.2">
      <c r="A34" s="154">
        <v>9</v>
      </c>
      <c r="B34" s="155">
        <v>3467</v>
      </c>
      <c r="C34" s="155">
        <v>691001243</v>
      </c>
      <c r="D34" s="155">
        <v>72048174</v>
      </c>
      <c r="E34" s="156" t="s">
        <v>23</v>
      </c>
      <c r="F34" s="155">
        <v>3111</v>
      </c>
      <c r="G34" s="156" t="s">
        <v>277</v>
      </c>
      <c r="H34" s="157" t="s">
        <v>262</v>
      </c>
      <c r="I34" s="610">
        <v>8396564</v>
      </c>
      <c r="J34" s="410">
        <v>6228905</v>
      </c>
      <c r="K34" s="410">
        <v>0</v>
      </c>
      <c r="L34" s="431">
        <v>2105370</v>
      </c>
      <c r="M34" s="431">
        <v>62289</v>
      </c>
      <c r="N34" s="431">
        <v>0</v>
      </c>
      <c r="O34" s="747">
        <v>10.55</v>
      </c>
      <c r="P34" s="445">
        <f>W34*-1</f>
        <v>0</v>
      </c>
      <c r="Q34" s="325">
        <v>0</v>
      </c>
      <c r="R34" s="325">
        <v>0</v>
      </c>
      <c r="S34" s="325">
        <v>0</v>
      </c>
      <c r="T34" s="325">
        <v>0</v>
      </c>
      <c r="U34" s="325">
        <v>0</v>
      </c>
      <c r="V34" s="492">
        <f t="shared" ref="V34:V35" si="67">P34+Q34+R34+S34+T34+U34</f>
        <v>0</v>
      </c>
      <c r="W34" s="325">
        <v>0</v>
      </c>
      <c r="X34" s="325">
        <v>0</v>
      </c>
      <c r="Y34" s="325">
        <v>0</v>
      </c>
      <c r="Z34" s="492">
        <f t="shared" ref="Z34:Z35" si="68">W34+X34+Y34</f>
        <v>0</v>
      </c>
      <c r="AA34" s="492">
        <f t="shared" ref="AA34:AA35" si="69">V34+Z34</f>
        <v>0</v>
      </c>
      <c r="AB34" s="494">
        <f t="shared" ref="AB34:AB35" si="70">ROUND((V34+Z34)*33.8%,0)</f>
        <v>0</v>
      </c>
      <c r="AC34" s="494">
        <f t="shared" ref="AC34:AC35" si="71">ROUND(V34*1%,0)</f>
        <v>0</v>
      </c>
      <c r="AD34" s="492">
        <v>0</v>
      </c>
      <c r="AE34" s="753">
        <f t="shared" ref="AE34:AE35" si="72">AA34+AB34+AC34+AD34</f>
        <v>0</v>
      </c>
      <c r="AF34" s="688">
        <v>0</v>
      </c>
      <c r="AG34" s="326">
        <v>0</v>
      </c>
      <c r="AH34" s="326">
        <v>0</v>
      </c>
      <c r="AI34" s="326">
        <v>0</v>
      </c>
      <c r="AJ34" s="326">
        <v>0</v>
      </c>
      <c r="AK34" s="326">
        <v>0</v>
      </c>
      <c r="AL34" s="609">
        <f t="shared" ref="AL34:AL35" si="73">SUM(AF34:AK34)</f>
        <v>0</v>
      </c>
      <c r="AM34" s="493">
        <f>I34+AE34</f>
        <v>8396564</v>
      </c>
      <c r="AN34" s="492">
        <f>J34+V34</f>
        <v>6228905</v>
      </c>
      <c r="AO34" s="573">
        <f t="shared" ref="AO34:AO35" si="74">K34+Z34</f>
        <v>0</v>
      </c>
      <c r="AP34" s="492">
        <f>L34+AB34</f>
        <v>2105370</v>
      </c>
      <c r="AQ34" s="492">
        <f>M34+AC34</f>
        <v>62289</v>
      </c>
      <c r="AR34" s="573">
        <f t="shared" ref="AR34:AR35" si="75">N34+AD34</f>
        <v>0</v>
      </c>
      <c r="AS34" s="491">
        <f t="shared" ref="AS34:AS35" si="76">O34+AL34</f>
        <v>10.55</v>
      </c>
    </row>
    <row r="35" spans="1:45" s="152" customFormat="1" x14ac:dyDescent="0.2">
      <c r="A35" s="154">
        <v>9</v>
      </c>
      <c r="B35" s="155">
        <v>3467</v>
      </c>
      <c r="C35" s="155">
        <v>691001243</v>
      </c>
      <c r="D35" s="155">
        <v>72048174</v>
      </c>
      <c r="E35" s="156" t="s">
        <v>23</v>
      </c>
      <c r="F35" s="155">
        <v>3111</v>
      </c>
      <c r="G35" s="156" t="s">
        <v>278</v>
      </c>
      <c r="H35" s="157" t="s">
        <v>263</v>
      </c>
      <c r="I35" s="580">
        <v>936163</v>
      </c>
      <c r="J35" s="323">
        <v>694483</v>
      </c>
      <c r="K35" s="410">
        <v>0</v>
      </c>
      <c r="L35" s="431">
        <v>234735</v>
      </c>
      <c r="M35" s="431">
        <v>6945</v>
      </c>
      <c r="N35" s="431">
        <v>0</v>
      </c>
      <c r="O35" s="748">
        <v>1.75</v>
      </c>
      <c r="P35" s="440">
        <f>W35*-1</f>
        <v>0</v>
      </c>
      <c r="Q35" s="325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 t="shared" si="67"/>
        <v>0</v>
      </c>
      <c r="W35" s="325">
        <v>0</v>
      </c>
      <c r="X35" s="325">
        <v>0</v>
      </c>
      <c r="Y35" s="325">
        <v>0</v>
      </c>
      <c r="Z35" s="492">
        <f t="shared" si="68"/>
        <v>0</v>
      </c>
      <c r="AA35" s="492">
        <f t="shared" si="69"/>
        <v>0</v>
      </c>
      <c r="AB35" s="494">
        <f t="shared" si="70"/>
        <v>0</v>
      </c>
      <c r="AC35" s="494">
        <f t="shared" si="71"/>
        <v>0</v>
      </c>
      <c r="AD35" s="492">
        <v>0</v>
      </c>
      <c r="AE35" s="753">
        <f t="shared" si="72"/>
        <v>0</v>
      </c>
      <c r="AF35" s="688">
        <v>0</v>
      </c>
      <c r="AG35" s="326">
        <v>0</v>
      </c>
      <c r="AH35" s="326">
        <v>0</v>
      </c>
      <c r="AI35" s="326">
        <v>0</v>
      </c>
      <c r="AJ35" s="326">
        <v>0</v>
      </c>
      <c r="AK35" s="326">
        <v>0</v>
      </c>
      <c r="AL35" s="609">
        <f t="shared" si="73"/>
        <v>0</v>
      </c>
      <c r="AM35" s="493">
        <f>I35+AE35</f>
        <v>936163</v>
      </c>
      <c r="AN35" s="492">
        <f>J35+V35</f>
        <v>694483</v>
      </c>
      <c r="AO35" s="573">
        <f t="shared" si="74"/>
        <v>0</v>
      </c>
      <c r="AP35" s="492">
        <f>L35+AB35</f>
        <v>234735</v>
      </c>
      <c r="AQ35" s="492">
        <f>M35+AC35</f>
        <v>6945</v>
      </c>
      <c r="AR35" s="573">
        <f t="shared" si="75"/>
        <v>0</v>
      </c>
      <c r="AS35" s="491">
        <f t="shared" si="76"/>
        <v>1.75</v>
      </c>
    </row>
    <row r="36" spans="1:45" s="152" customFormat="1" ht="12.75" customHeight="1" x14ac:dyDescent="0.2">
      <c r="A36" s="105">
        <v>9</v>
      </c>
      <c r="B36" s="12">
        <v>3467</v>
      </c>
      <c r="C36" s="104">
        <v>691001243</v>
      </c>
      <c r="D36" s="104">
        <v>72048174</v>
      </c>
      <c r="E36" s="153" t="s">
        <v>24</v>
      </c>
      <c r="F36" s="12"/>
      <c r="G36" s="153"/>
      <c r="H36" s="407"/>
      <c r="I36" s="746">
        <v>9332727</v>
      </c>
      <c r="J36" s="378">
        <v>6923388</v>
      </c>
      <c r="K36" s="378">
        <v>0</v>
      </c>
      <c r="L36" s="378">
        <v>2340105</v>
      </c>
      <c r="M36" s="378">
        <v>69234</v>
      </c>
      <c r="N36" s="378">
        <v>0</v>
      </c>
      <c r="O36" s="340">
        <v>12.3</v>
      </c>
      <c r="P36" s="444">
        <f t="shared" ref="P36:AS36" si="77">SUM(P34:P35)</f>
        <v>0</v>
      </c>
      <c r="Q36" s="378">
        <f t="shared" si="77"/>
        <v>0</v>
      </c>
      <c r="R36" s="378">
        <f t="shared" si="77"/>
        <v>0</v>
      </c>
      <c r="S36" s="378">
        <f t="shared" si="77"/>
        <v>0</v>
      </c>
      <c r="T36" s="378">
        <f t="shared" si="77"/>
        <v>0</v>
      </c>
      <c r="U36" s="378">
        <f t="shared" si="77"/>
        <v>0</v>
      </c>
      <c r="V36" s="378">
        <f t="shared" si="77"/>
        <v>0</v>
      </c>
      <c r="W36" s="378">
        <f t="shared" si="77"/>
        <v>0</v>
      </c>
      <c r="X36" s="378">
        <f t="shared" si="77"/>
        <v>0</v>
      </c>
      <c r="Y36" s="378">
        <f t="shared" si="77"/>
        <v>0</v>
      </c>
      <c r="Z36" s="378">
        <f t="shared" si="77"/>
        <v>0</v>
      </c>
      <c r="AA36" s="378">
        <f t="shared" si="77"/>
        <v>0</v>
      </c>
      <c r="AB36" s="378">
        <f t="shared" si="77"/>
        <v>0</v>
      </c>
      <c r="AC36" s="378">
        <f t="shared" si="77"/>
        <v>0</v>
      </c>
      <c r="AD36" s="378">
        <f t="shared" si="77"/>
        <v>0</v>
      </c>
      <c r="AE36" s="752">
        <f t="shared" si="77"/>
        <v>0</v>
      </c>
      <c r="AF36" s="754">
        <f t="shared" si="77"/>
        <v>0</v>
      </c>
      <c r="AG36" s="398">
        <f t="shared" si="77"/>
        <v>0</v>
      </c>
      <c r="AH36" s="398">
        <f t="shared" si="77"/>
        <v>0</v>
      </c>
      <c r="AI36" s="398">
        <f t="shared" si="77"/>
        <v>0</v>
      </c>
      <c r="AJ36" s="398">
        <f t="shared" si="77"/>
        <v>0</v>
      </c>
      <c r="AK36" s="398">
        <f t="shared" si="77"/>
        <v>0</v>
      </c>
      <c r="AL36" s="340">
        <f t="shared" si="77"/>
        <v>0</v>
      </c>
      <c r="AM36" s="444">
        <f t="shared" si="77"/>
        <v>9332727</v>
      </c>
      <c r="AN36" s="378">
        <f t="shared" si="77"/>
        <v>6923388</v>
      </c>
      <c r="AO36" s="378">
        <f t="shared" si="77"/>
        <v>0</v>
      </c>
      <c r="AP36" s="378">
        <f t="shared" si="77"/>
        <v>2340105</v>
      </c>
      <c r="AQ36" s="378">
        <f t="shared" si="77"/>
        <v>69234</v>
      </c>
      <c r="AR36" s="378">
        <f t="shared" si="77"/>
        <v>0</v>
      </c>
      <c r="AS36" s="398">
        <f t="shared" si="77"/>
        <v>12.3</v>
      </c>
    </row>
    <row r="37" spans="1:45" s="152" customFormat="1" ht="12.75" customHeight="1" x14ac:dyDescent="0.2">
      <c r="A37" s="154">
        <v>10</v>
      </c>
      <c r="B37" s="155">
        <v>3461</v>
      </c>
      <c r="C37" s="155">
        <v>691001286</v>
      </c>
      <c r="D37" s="155">
        <v>72048107</v>
      </c>
      <c r="E37" s="156" t="s">
        <v>25</v>
      </c>
      <c r="F37" s="155">
        <v>3111</v>
      </c>
      <c r="G37" s="156" t="s">
        <v>277</v>
      </c>
      <c r="H37" s="157" t="s">
        <v>262</v>
      </c>
      <c r="I37" s="610">
        <v>8509658</v>
      </c>
      <c r="J37" s="410">
        <v>6312803</v>
      </c>
      <c r="K37" s="410">
        <v>0</v>
      </c>
      <c r="L37" s="431">
        <v>2133727</v>
      </c>
      <c r="M37" s="431">
        <v>63128</v>
      </c>
      <c r="N37" s="431">
        <v>0</v>
      </c>
      <c r="O37" s="747">
        <v>10.7</v>
      </c>
      <c r="P37" s="445">
        <f>W37*-1</f>
        <v>0</v>
      </c>
      <c r="Q37" s="325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 t="shared" ref="V37:V38" si="78">P37+Q37+R37+S37+T37+U37</f>
        <v>0</v>
      </c>
      <c r="W37" s="325">
        <v>0</v>
      </c>
      <c r="X37" s="325">
        <v>0</v>
      </c>
      <c r="Y37" s="325">
        <v>0</v>
      </c>
      <c r="Z37" s="492">
        <f t="shared" ref="Z37:Z38" si="79">W37+X37+Y37</f>
        <v>0</v>
      </c>
      <c r="AA37" s="492">
        <f t="shared" ref="AA37:AA38" si="80">V37+Z37</f>
        <v>0</v>
      </c>
      <c r="AB37" s="494">
        <f t="shared" ref="AB37:AB38" si="81">ROUND((V37+Z37)*33.8%,0)</f>
        <v>0</v>
      </c>
      <c r="AC37" s="494">
        <f t="shared" ref="AC37:AC38" si="82">ROUND(V37*1%,0)</f>
        <v>0</v>
      </c>
      <c r="AD37" s="492">
        <v>0</v>
      </c>
      <c r="AE37" s="753">
        <f t="shared" ref="AE37:AE38" si="83">AA37+AB37+AC37+AD37</f>
        <v>0</v>
      </c>
      <c r="AF37" s="688">
        <v>0</v>
      </c>
      <c r="AG37" s="326">
        <v>0</v>
      </c>
      <c r="AH37" s="326">
        <v>0</v>
      </c>
      <c r="AI37" s="326">
        <v>0</v>
      </c>
      <c r="AJ37" s="326">
        <v>0</v>
      </c>
      <c r="AK37" s="326">
        <v>0</v>
      </c>
      <c r="AL37" s="609">
        <f t="shared" ref="AL37:AL38" si="84">SUM(AF37:AK37)</f>
        <v>0</v>
      </c>
      <c r="AM37" s="493">
        <f>I37+AE37</f>
        <v>8509658</v>
      </c>
      <c r="AN37" s="492">
        <f>J37+V37</f>
        <v>6312803</v>
      </c>
      <c r="AO37" s="573">
        <f t="shared" ref="AO37:AO38" si="85">K37+Z37</f>
        <v>0</v>
      </c>
      <c r="AP37" s="492">
        <f>L37+AB37</f>
        <v>2133727</v>
      </c>
      <c r="AQ37" s="492">
        <f>M37+AC37</f>
        <v>63128</v>
      </c>
      <c r="AR37" s="573">
        <f t="shared" ref="AR37:AR38" si="86">N37+AD37</f>
        <v>0</v>
      </c>
      <c r="AS37" s="491">
        <f t="shared" ref="AS37:AS38" si="87">O37+AL37</f>
        <v>10.7</v>
      </c>
    </row>
    <row r="38" spans="1:45" s="152" customFormat="1" x14ac:dyDescent="0.2">
      <c r="A38" s="154">
        <v>10</v>
      </c>
      <c r="B38" s="155">
        <v>3461</v>
      </c>
      <c r="C38" s="155">
        <v>691001286</v>
      </c>
      <c r="D38" s="155">
        <v>72048107</v>
      </c>
      <c r="E38" s="156" t="s">
        <v>25</v>
      </c>
      <c r="F38" s="155">
        <v>3111</v>
      </c>
      <c r="G38" s="156" t="s">
        <v>278</v>
      </c>
      <c r="H38" s="157" t="s">
        <v>263</v>
      </c>
      <c r="I38" s="580">
        <v>1323927</v>
      </c>
      <c r="J38" s="323">
        <v>982142</v>
      </c>
      <c r="K38" s="410">
        <v>0</v>
      </c>
      <c r="L38" s="431">
        <v>331964</v>
      </c>
      <c r="M38" s="431">
        <v>9821</v>
      </c>
      <c r="N38" s="431">
        <v>0</v>
      </c>
      <c r="O38" s="748">
        <v>2.73</v>
      </c>
      <c r="P38" s="440">
        <f>W38*-1</f>
        <v>0</v>
      </c>
      <c r="Q38" s="325">
        <v>0</v>
      </c>
      <c r="R38" s="325">
        <v>0</v>
      </c>
      <c r="S38" s="325">
        <v>0</v>
      </c>
      <c r="T38" s="325">
        <v>0</v>
      </c>
      <c r="U38" s="325">
        <v>0</v>
      </c>
      <c r="V38" s="492">
        <f t="shared" si="78"/>
        <v>0</v>
      </c>
      <c r="W38" s="325">
        <v>0</v>
      </c>
      <c r="X38" s="325">
        <v>0</v>
      </c>
      <c r="Y38" s="325">
        <v>0</v>
      </c>
      <c r="Z38" s="492">
        <f t="shared" si="79"/>
        <v>0</v>
      </c>
      <c r="AA38" s="492">
        <f t="shared" si="80"/>
        <v>0</v>
      </c>
      <c r="AB38" s="494">
        <f t="shared" si="81"/>
        <v>0</v>
      </c>
      <c r="AC38" s="494">
        <f t="shared" si="82"/>
        <v>0</v>
      </c>
      <c r="AD38" s="492">
        <v>0</v>
      </c>
      <c r="AE38" s="753">
        <f t="shared" si="83"/>
        <v>0</v>
      </c>
      <c r="AF38" s="688">
        <v>0</v>
      </c>
      <c r="AG38" s="326">
        <v>0</v>
      </c>
      <c r="AH38" s="326">
        <v>0</v>
      </c>
      <c r="AI38" s="326">
        <v>0</v>
      </c>
      <c r="AJ38" s="326">
        <v>0</v>
      </c>
      <c r="AK38" s="326">
        <v>0</v>
      </c>
      <c r="AL38" s="609">
        <f t="shared" si="84"/>
        <v>0</v>
      </c>
      <c r="AM38" s="493">
        <f>I38+AE38</f>
        <v>1323927</v>
      </c>
      <c r="AN38" s="492">
        <f>J38+V38</f>
        <v>982142</v>
      </c>
      <c r="AO38" s="573">
        <f t="shared" si="85"/>
        <v>0</v>
      </c>
      <c r="AP38" s="492">
        <f>L38+AB38</f>
        <v>331964</v>
      </c>
      <c r="AQ38" s="492">
        <f>M38+AC38</f>
        <v>9821</v>
      </c>
      <c r="AR38" s="573">
        <f t="shared" si="86"/>
        <v>0</v>
      </c>
      <c r="AS38" s="491">
        <f t="shared" si="87"/>
        <v>2.73</v>
      </c>
    </row>
    <row r="39" spans="1:45" s="152" customFormat="1" ht="12.75" customHeight="1" x14ac:dyDescent="0.2">
      <c r="A39" s="105">
        <v>10</v>
      </c>
      <c r="B39" s="12">
        <v>3461</v>
      </c>
      <c r="C39" s="104">
        <v>691001286</v>
      </c>
      <c r="D39" s="104">
        <v>72048107</v>
      </c>
      <c r="E39" s="153" t="s">
        <v>26</v>
      </c>
      <c r="F39" s="12"/>
      <c r="G39" s="153"/>
      <c r="H39" s="407"/>
      <c r="I39" s="746">
        <v>9833585</v>
      </c>
      <c r="J39" s="378">
        <v>7294945</v>
      </c>
      <c r="K39" s="378">
        <v>0</v>
      </c>
      <c r="L39" s="378">
        <v>2465691</v>
      </c>
      <c r="M39" s="378">
        <v>72949</v>
      </c>
      <c r="N39" s="378">
        <v>0</v>
      </c>
      <c r="O39" s="340">
        <v>13.43</v>
      </c>
      <c r="P39" s="444">
        <f t="shared" ref="P39:AS39" si="88">SUM(P37:P38)</f>
        <v>0</v>
      </c>
      <c r="Q39" s="378">
        <f t="shared" si="88"/>
        <v>0</v>
      </c>
      <c r="R39" s="378">
        <f t="shared" si="88"/>
        <v>0</v>
      </c>
      <c r="S39" s="378">
        <f t="shared" si="88"/>
        <v>0</v>
      </c>
      <c r="T39" s="378">
        <f t="shared" si="88"/>
        <v>0</v>
      </c>
      <c r="U39" s="378">
        <f t="shared" si="88"/>
        <v>0</v>
      </c>
      <c r="V39" s="378">
        <f t="shared" si="88"/>
        <v>0</v>
      </c>
      <c r="W39" s="378">
        <f t="shared" si="88"/>
        <v>0</v>
      </c>
      <c r="X39" s="378">
        <f t="shared" si="88"/>
        <v>0</v>
      </c>
      <c r="Y39" s="378">
        <f t="shared" si="88"/>
        <v>0</v>
      </c>
      <c r="Z39" s="378">
        <f t="shared" si="88"/>
        <v>0</v>
      </c>
      <c r="AA39" s="378">
        <f t="shared" si="88"/>
        <v>0</v>
      </c>
      <c r="AB39" s="378">
        <f t="shared" si="88"/>
        <v>0</v>
      </c>
      <c r="AC39" s="378">
        <f t="shared" si="88"/>
        <v>0</v>
      </c>
      <c r="AD39" s="378">
        <f t="shared" si="88"/>
        <v>0</v>
      </c>
      <c r="AE39" s="752">
        <f t="shared" si="88"/>
        <v>0</v>
      </c>
      <c r="AF39" s="754">
        <f t="shared" si="88"/>
        <v>0</v>
      </c>
      <c r="AG39" s="398">
        <f t="shared" si="88"/>
        <v>0</v>
      </c>
      <c r="AH39" s="398">
        <f t="shared" si="88"/>
        <v>0</v>
      </c>
      <c r="AI39" s="398">
        <f t="shared" si="88"/>
        <v>0</v>
      </c>
      <c r="AJ39" s="398">
        <f t="shared" si="88"/>
        <v>0</v>
      </c>
      <c r="AK39" s="398">
        <f t="shared" si="88"/>
        <v>0</v>
      </c>
      <c r="AL39" s="340">
        <f t="shared" si="88"/>
        <v>0</v>
      </c>
      <c r="AM39" s="444">
        <f t="shared" si="88"/>
        <v>9833585</v>
      </c>
      <c r="AN39" s="378">
        <f t="shared" si="88"/>
        <v>7294945</v>
      </c>
      <c r="AO39" s="378">
        <f t="shared" si="88"/>
        <v>0</v>
      </c>
      <c r="AP39" s="378">
        <f t="shared" si="88"/>
        <v>2465691</v>
      </c>
      <c r="AQ39" s="378">
        <f t="shared" si="88"/>
        <v>72949</v>
      </c>
      <c r="AR39" s="378">
        <f t="shared" si="88"/>
        <v>0</v>
      </c>
      <c r="AS39" s="398">
        <f t="shared" si="88"/>
        <v>13.43</v>
      </c>
    </row>
    <row r="40" spans="1:45" s="152" customFormat="1" ht="12.75" customHeight="1" x14ac:dyDescent="0.2">
      <c r="A40" s="154">
        <v>11</v>
      </c>
      <c r="B40" s="155">
        <v>3468</v>
      </c>
      <c r="C40" s="155">
        <v>691000891</v>
      </c>
      <c r="D40" s="155">
        <v>72048069</v>
      </c>
      <c r="E40" s="156" t="s">
        <v>27</v>
      </c>
      <c r="F40" s="155">
        <v>3111</v>
      </c>
      <c r="G40" s="156" t="s">
        <v>277</v>
      </c>
      <c r="H40" s="157" t="s">
        <v>262</v>
      </c>
      <c r="I40" s="610">
        <v>6554382</v>
      </c>
      <c r="J40" s="410">
        <v>4862301</v>
      </c>
      <c r="K40" s="410">
        <v>0</v>
      </c>
      <c r="L40" s="431">
        <v>1643458</v>
      </c>
      <c r="M40" s="431">
        <v>48623</v>
      </c>
      <c r="N40" s="431">
        <v>0</v>
      </c>
      <c r="O40" s="747">
        <v>8.1</v>
      </c>
      <c r="P40" s="445">
        <f>W40*-1</f>
        <v>0</v>
      </c>
      <c r="Q40" s="325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 t="shared" ref="V40:V41" si="89">P40+Q40+R40+S40+T40+U40</f>
        <v>0</v>
      </c>
      <c r="W40" s="325">
        <v>0</v>
      </c>
      <c r="X40" s="325">
        <v>0</v>
      </c>
      <c r="Y40" s="325">
        <v>0</v>
      </c>
      <c r="Z40" s="492">
        <f t="shared" ref="Z40:Z41" si="90">W40+X40+Y40</f>
        <v>0</v>
      </c>
      <c r="AA40" s="492">
        <f t="shared" ref="AA40:AA41" si="91">V40+Z40</f>
        <v>0</v>
      </c>
      <c r="AB40" s="494">
        <f t="shared" ref="AB40:AB41" si="92">ROUND((V40+Z40)*33.8%,0)</f>
        <v>0</v>
      </c>
      <c r="AC40" s="494">
        <f t="shared" ref="AC40:AC41" si="93">ROUND(V40*1%,0)</f>
        <v>0</v>
      </c>
      <c r="AD40" s="492">
        <v>0</v>
      </c>
      <c r="AE40" s="753">
        <f t="shared" ref="AE40:AE41" si="94">AA40+AB40+AC40+AD40</f>
        <v>0</v>
      </c>
      <c r="AF40" s="688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609">
        <f t="shared" ref="AL40:AL41" si="95">SUM(AF40:AK40)</f>
        <v>0</v>
      </c>
      <c r="AM40" s="493">
        <f>I40+AE40</f>
        <v>6554382</v>
      </c>
      <c r="AN40" s="492">
        <f>J40+V40</f>
        <v>4862301</v>
      </c>
      <c r="AO40" s="573">
        <f t="shared" ref="AO40:AO41" si="96">K40+Z40</f>
        <v>0</v>
      </c>
      <c r="AP40" s="492">
        <f>L40+AB40</f>
        <v>1643458</v>
      </c>
      <c r="AQ40" s="492">
        <f>M40+AC40</f>
        <v>48623</v>
      </c>
      <c r="AR40" s="573">
        <f t="shared" ref="AR40:AR41" si="97">N40+AD40</f>
        <v>0</v>
      </c>
      <c r="AS40" s="491">
        <f t="shared" ref="AS40:AS41" si="98">O40+AL40</f>
        <v>8.1</v>
      </c>
    </row>
    <row r="41" spans="1:45" s="152" customFormat="1" x14ac:dyDescent="0.2">
      <c r="A41" s="154">
        <v>11</v>
      </c>
      <c r="B41" s="155">
        <v>3468</v>
      </c>
      <c r="C41" s="155">
        <v>691000891</v>
      </c>
      <c r="D41" s="155">
        <v>72048069</v>
      </c>
      <c r="E41" s="156" t="s">
        <v>27</v>
      </c>
      <c r="F41" s="155">
        <v>3111</v>
      </c>
      <c r="G41" s="156" t="s">
        <v>278</v>
      </c>
      <c r="H41" s="157" t="s">
        <v>263</v>
      </c>
      <c r="I41" s="580">
        <v>936163</v>
      </c>
      <c r="J41" s="323">
        <v>694483</v>
      </c>
      <c r="K41" s="410">
        <v>0</v>
      </c>
      <c r="L41" s="431">
        <v>234735</v>
      </c>
      <c r="M41" s="431">
        <v>6945</v>
      </c>
      <c r="N41" s="431">
        <v>0</v>
      </c>
      <c r="O41" s="748">
        <v>1.75</v>
      </c>
      <c r="P41" s="440">
        <f>W41*-1</f>
        <v>0</v>
      </c>
      <c r="Q41" s="325">
        <v>0</v>
      </c>
      <c r="R41" s="325">
        <v>0</v>
      </c>
      <c r="S41" s="325">
        <v>0</v>
      </c>
      <c r="T41" s="325">
        <v>0</v>
      </c>
      <c r="U41" s="325">
        <v>0</v>
      </c>
      <c r="V41" s="492">
        <f t="shared" si="89"/>
        <v>0</v>
      </c>
      <c r="W41" s="325">
        <v>0</v>
      </c>
      <c r="X41" s="325">
        <v>0</v>
      </c>
      <c r="Y41" s="325">
        <v>0</v>
      </c>
      <c r="Z41" s="492">
        <f t="shared" si="90"/>
        <v>0</v>
      </c>
      <c r="AA41" s="492">
        <f t="shared" si="91"/>
        <v>0</v>
      </c>
      <c r="AB41" s="494">
        <f t="shared" si="92"/>
        <v>0</v>
      </c>
      <c r="AC41" s="494">
        <f t="shared" si="93"/>
        <v>0</v>
      </c>
      <c r="AD41" s="492">
        <v>0</v>
      </c>
      <c r="AE41" s="753">
        <f t="shared" si="94"/>
        <v>0</v>
      </c>
      <c r="AF41" s="688">
        <v>0</v>
      </c>
      <c r="AG41" s="326">
        <v>0</v>
      </c>
      <c r="AH41" s="326">
        <v>0</v>
      </c>
      <c r="AI41" s="326">
        <v>0</v>
      </c>
      <c r="AJ41" s="326">
        <v>0</v>
      </c>
      <c r="AK41" s="326">
        <v>0</v>
      </c>
      <c r="AL41" s="609">
        <f t="shared" si="95"/>
        <v>0</v>
      </c>
      <c r="AM41" s="493">
        <f>I41+AE41</f>
        <v>936163</v>
      </c>
      <c r="AN41" s="492">
        <f>J41+V41</f>
        <v>694483</v>
      </c>
      <c r="AO41" s="573">
        <f t="shared" si="96"/>
        <v>0</v>
      </c>
      <c r="AP41" s="492">
        <f>L41+AB41</f>
        <v>234735</v>
      </c>
      <c r="AQ41" s="492">
        <f>M41+AC41</f>
        <v>6945</v>
      </c>
      <c r="AR41" s="573">
        <f t="shared" si="97"/>
        <v>0</v>
      </c>
      <c r="AS41" s="491">
        <f t="shared" si="98"/>
        <v>1.75</v>
      </c>
    </row>
    <row r="42" spans="1:45" s="152" customFormat="1" ht="12.75" customHeight="1" x14ac:dyDescent="0.2">
      <c r="A42" s="105">
        <v>11</v>
      </c>
      <c r="B42" s="12">
        <v>3468</v>
      </c>
      <c r="C42" s="104">
        <v>691000891</v>
      </c>
      <c r="D42" s="104">
        <v>72048069</v>
      </c>
      <c r="E42" s="153" t="s">
        <v>28</v>
      </c>
      <c r="F42" s="12"/>
      <c r="G42" s="153"/>
      <c r="H42" s="407"/>
      <c r="I42" s="746">
        <v>7490545</v>
      </c>
      <c r="J42" s="378">
        <v>5556784</v>
      </c>
      <c r="K42" s="378">
        <v>0</v>
      </c>
      <c r="L42" s="378">
        <v>1878193</v>
      </c>
      <c r="M42" s="378">
        <v>55568</v>
      </c>
      <c r="N42" s="378">
        <v>0</v>
      </c>
      <c r="O42" s="340">
        <v>9.85</v>
      </c>
      <c r="P42" s="444">
        <f t="shared" ref="P42:AS42" si="99">SUM(P40:P41)</f>
        <v>0</v>
      </c>
      <c r="Q42" s="378">
        <f t="shared" si="99"/>
        <v>0</v>
      </c>
      <c r="R42" s="378">
        <f t="shared" si="99"/>
        <v>0</v>
      </c>
      <c r="S42" s="378">
        <f t="shared" si="99"/>
        <v>0</v>
      </c>
      <c r="T42" s="378">
        <f t="shared" si="99"/>
        <v>0</v>
      </c>
      <c r="U42" s="378">
        <f t="shared" si="99"/>
        <v>0</v>
      </c>
      <c r="V42" s="378">
        <f t="shared" si="99"/>
        <v>0</v>
      </c>
      <c r="W42" s="378">
        <f t="shared" si="99"/>
        <v>0</v>
      </c>
      <c r="X42" s="378">
        <f t="shared" si="99"/>
        <v>0</v>
      </c>
      <c r="Y42" s="378">
        <f t="shared" si="99"/>
        <v>0</v>
      </c>
      <c r="Z42" s="378">
        <f t="shared" si="99"/>
        <v>0</v>
      </c>
      <c r="AA42" s="378">
        <f t="shared" si="99"/>
        <v>0</v>
      </c>
      <c r="AB42" s="378">
        <f t="shared" si="99"/>
        <v>0</v>
      </c>
      <c r="AC42" s="378">
        <f t="shared" si="99"/>
        <v>0</v>
      </c>
      <c r="AD42" s="378">
        <f t="shared" si="99"/>
        <v>0</v>
      </c>
      <c r="AE42" s="752">
        <f t="shared" si="99"/>
        <v>0</v>
      </c>
      <c r="AF42" s="754">
        <f t="shared" si="99"/>
        <v>0</v>
      </c>
      <c r="AG42" s="398">
        <f t="shared" si="99"/>
        <v>0</v>
      </c>
      <c r="AH42" s="398">
        <f t="shared" si="99"/>
        <v>0</v>
      </c>
      <c r="AI42" s="398">
        <f t="shared" si="99"/>
        <v>0</v>
      </c>
      <c r="AJ42" s="398">
        <f t="shared" si="99"/>
        <v>0</v>
      </c>
      <c r="AK42" s="398">
        <f t="shared" si="99"/>
        <v>0</v>
      </c>
      <c r="AL42" s="340">
        <f t="shared" si="99"/>
        <v>0</v>
      </c>
      <c r="AM42" s="444">
        <f t="shared" si="99"/>
        <v>7490545</v>
      </c>
      <c r="AN42" s="378">
        <f t="shared" si="99"/>
        <v>5556784</v>
      </c>
      <c r="AO42" s="378">
        <f t="shared" si="99"/>
        <v>0</v>
      </c>
      <c r="AP42" s="378">
        <f t="shared" si="99"/>
        <v>1878193</v>
      </c>
      <c r="AQ42" s="378">
        <f t="shared" si="99"/>
        <v>55568</v>
      </c>
      <c r="AR42" s="378">
        <f t="shared" si="99"/>
        <v>0</v>
      </c>
      <c r="AS42" s="398">
        <f t="shared" si="99"/>
        <v>9.85</v>
      </c>
    </row>
    <row r="43" spans="1:45" s="152" customFormat="1" ht="12.75" customHeight="1" x14ac:dyDescent="0.2">
      <c r="A43" s="154">
        <v>12</v>
      </c>
      <c r="B43" s="155">
        <v>3465</v>
      </c>
      <c r="C43" s="155">
        <v>691001278</v>
      </c>
      <c r="D43" s="155">
        <v>72048131</v>
      </c>
      <c r="E43" s="156" t="s">
        <v>29</v>
      </c>
      <c r="F43" s="155">
        <v>3111</v>
      </c>
      <c r="G43" s="156" t="s">
        <v>277</v>
      </c>
      <c r="H43" s="157" t="s">
        <v>262</v>
      </c>
      <c r="I43" s="610">
        <v>6471420</v>
      </c>
      <c r="J43" s="410">
        <v>4800756</v>
      </c>
      <c r="K43" s="410">
        <v>0</v>
      </c>
      <c r="L43" s="431">
        <v>1622656</v>
      </c>
      <c r="M43" s="431">
        <v>48008</v>
      </c>
      <c r="N43" s="431">
        <v>0</v>
      </c>
      <c r="O43" s="747">
        <v>8</v>
      </c>
      <c r="P43" s="445">
        <f>W43*-1</f>
        <v>0</v>
      </c>
      <c r="Q43" s="325">
        <v>0</v>
      </c>
      <c r="R43" s="325">
        <v>0</v>
      </c>
      <c r="S43" s="325">
        <v>0</v>
      </c>
      <c r="T43" s="325">
        <v>0</v>
      </c>
      <c r="U43" s="325">
        <v>0</v>
      </c>
      <c r="V43" s="492">
        <f t="shared" ref="V43:V44" si="100">P43+Q43+R43+S43+T43+U43</f>
        <v>0</v>
      </c>
      <c r="W43" s="325">
        <v>0</v>
      </c>
      <c r="X43" s="325">
        <v>0</v>
      </c>
      <c r="Y43" s="325">
        <v>0</v>
      </c>
      <c r="Z43" s="492">
        <f t="shared" ref="Z43:Z44" si="101">W43+X43+Y43</f>
        <v>0</v>
      </c>
      <c r="AA43" s="492">
        <f t="shared" ref="AA43:AA44" si="102">V43+Z43</f>
        <v>0</v>
      </c>
      <c r="AB43" s="494">
        <f t="shared" ref="AB43:AB44" si="103">ROUND((V43+Z43)*33.8%,0)</f>
        <v>0</v>
      </c>
      <c r="AC43" s="494">
        <f t="shared" ref="AC43:AC44" si="104">ROUND(V43*1%,0)</f>
        <v>0</v>
      </c>
      <c r="AD43" s="492">
        <v>0</v>
      </c>
      <c r="AE43" s="753">
        <f t="shared" ref="AE43:AE44" si="105">AA43+AB43+AC43+AD43</f>
        <v>0</v>
      </c>
      <c r="AF43" s="688">
        <v>0</v>
      </c>
      <c r="AG43" s="326">
        <v>0</v>
      </c>
      <c r="AH43" s="326">
        <v>0</v>
      </c>
      <c r="AI43" s="326">
        <v>0</v>
      </c>
      <c r="AJ43" s="326">
        <v>0</v>
      </c>
      <c r="AK43" s="326">
        <v>0</v>
      </c>
      <c r="AL43" s="609">
        <f t="shared" ref="AL43:AL44" si="106">SUM(AF43:AK43)</f>
        <v>0</v>
      </c>
      <c r="AM43" s="493">
        <f>I43+AE43</f>
        <v>6471420</v>
      </c>
      <c r="AN43" s="492">
        <f>J43+V43</f>
        <v>4800756</v>
      </c>
      <c r="AO43" s="573">
        <f t="shared" ref="AO43:AO44" si="107">K43+Z43</f>
        <v>0</v>
      </c>
      <c r="AP43" s="492">
        <f>L43+AB43</f>
        <v>1622656</v>
      </c>
      <c r="AQ43" s="492">
        <f>M43+AC43</f>
        <v>48008</v>
      </c>
      <c r="AR43" s="573">
        <f t="shared" ref="AR43:AR44" si="108">N43+AD43</f>
        <v>0</v>
      </c>
      <c r="AS43" s="491">
        <f t="shared" ref="AS43:AS44" si="109">O43+AL43</f>
        <v>8</v>
      </c>
    </row>
    <row r="44" spans="1:45" s="152" customFormat="1" x14ac:dyDescent="0.2">
      <c r="A44" s="154">
        <v>12</v>
      </c>
      <c r="B44" s="155">
        <v>3465</v>
      </c>
      <c r="C44" s="155">
        <v>691001278</v>
      </c>
      <c r="D44" s="155">
        <v>72048131</v>
      </c>
      <c r="E44" s="156" t="s">
        <v>29</v>
      </c>
      <c r="F44" s="155">
        <v>3111</v>
      </c>
      <c r="G44" s="156" t="s">
        <v>278</v>
      </c>
      <c r="H44" s="157" t="s">
        <v>263</v>
      </c>
      <c r="I44" s="580">
        <v>299183</v>
      </c>
      <c r="J44" s="323">
        <v>221946</v>
      </c>
      <c r="K44" s="410">
        <v>0</v>
      </c>
      <c r="L44" s="431">
        <v>75018</v>
      </c>
      <c r="M44" s="431">
        <v>2219</v>
      </c>
      <c r="N44" s="431">
        <v>0</v>
      </c>
      <c r="O44" s="748">
        <v>0.75</v>
      </c>
      <c r="P44" s="440">
        <f>W44*-1</f>
        <v>0</v>
      </c>
      <c r="Q44" s="325">
        <v>0</v>
      </c>
      <c r="R44" s="325">
        <v>0</v>
      </c>
      <c r="S44" s="325">
        <v>0</v>
      </c>
      <c r="T44" s="325">
        <v>0</v>
      </c>
      <c r="U44" s="325">
        <v>0</v>
      </c>
      <c r="V44" s="492">
        <f t="shared" si="100"/>
        <v>0</v>
      </c>
      <c r="W44" s="325">
        <v>0</v>
      </c>
      <c r="X44" s="325">
        <v>0</v>
      </c>
      <c r="Y44" s="325">
        <v>0</v>
      </c>
      <c r="Z44" s="492">
        <f t="shared" si="101"/>
        <v>0</v>
      </c>
      <c r="AA44" s="492">
        <f t="shared" si="102"/>
        <v>0</v>
      </c>
      <c r="AB44" s="494">
        <f t="shared" si="103"/>
        <v>0</v>
      </c>
      <c r="AC44" s="494">
        <f t="shared" si="104"/>
        <v>0</v>
      </c>
      <c r="AD44" s="492">
        <v>0</v>
      </c>
      <c r="AE44" s="753">
        <f t="shared" si="105"/>
        <v>0</v>
      </c>
      <c r="AF44" s="688">
        <v>0</v>
      </c>
      <c r="AG44" s="326">
        <v>0</v>
      </c>
      <c r="AH44" s="326">
        <v>0</v>
      </c>
      <c r="AI44" s="326">
        <v>0</v>
      </c>
      <c r="AJ44" s="326">
        <v>0</v>
      </c>
      <c r="AK44" s="326">
        <v>0</v>
      </c>
      <c r="AL44" s="609">
        <f t="shared" si="106"/>
        <v>0</v>
      </c>
      <c r="AM44" s="493">
        <f>I44+AE44</f>
        <v>299183</v>
      </c>
      <c r="AN44" s="492">
        <f>J44+V44</f>
        <v>221946</v>
      </c>
      <c r="AO44" s="573">
        <f t="shared" si="107"/>
        <v>0</v>
      </c>
      <c r="AP44" s="492">
        <f>L44+AB44</f>
        <v>75018</v>
      </c>
      <c r="AQ44" s="492">
        <f>M44+AC44</f>
        <v>2219</v>
      </c>
      <c r="AR44" s="573">
        <f t="shared" si="108"/>
        <v>0</v>
      </c>
      <c r="AS44" s="491">
        <f t="shared" si="109"/>
        <v>0.75</v>
      </c>
    </row>
    <row r="45" spans="1:45" s="152" customFormat="1" ht="12.75" customHeight="1" x14ac:dyDescent="0.2">
      <c r="A45" s="105">
        <v>12</v>
      </c>
      <c r="B45" s="12">
        <v>3465</v>
      </c>
      <c r="C45" s="104">
        <v>691001278</v>
      </c>
      <c r="D45" s="104">
        <v>72048131</v>
      </c>
      <c r="E45" s="153" t="s">
        <v>30</v>
      </c>
      <c r="F45" s="12"/>
      <c r="G45" s="153"/>
      <c r="H45" s="407"/>
      <c r="I45" s="746">
        <v>6770603</v>
      </c>
      <c r="J45" s="378">
        <v>5022702</v>
      </c>
      <c r="K45" s="378">
        <v>0</v>
      </c>
      <c r="L45" s="378">
        <v>1697674</v>
      </c>
      <c r="M45" s="378">
        <v>50227</v>
      </c>
      <c r="N45" s="378">
        <v>0</v>
      </c>
      <c r="O45" s="340">
        <v>8.75</v>
      </c>
      <c r="P45" s="444">
        <f t="shared" ref="P45:AS45" si="110">SUM(P43:P44)</f>
        <v>0</v>
      </c>
      <c r="Q45" s="378">
        <f t="shared" si="110"/>
        <v>0</v>
      </c>
      <c r="R45" s="378">
        <f t="shared" si="110"/>
        <v>0</v>
      </c>
      <c r="S45" s="378">
        <f t="shared" si="110"/>
        <v>0</v>
      </c>
      <c r="T45" s="378">
        <f t="shared" si="110"/>
        <v>0</v>
      </c>
      <c r="U45" s="378">
        <f t="shared" si="110"/>
        <v>0</v>
      </c>
      <c r="V45" s="378">
        <f t="shared" si="110"/>
        <v>0</v>
      </c>
      <c r="W45" s="378">
        <f t="shared" si="110"/>
        <v>0</v>
      </c>
      <c r="X45" s="378">
        <f t="shared" si="110"/>
        <v>0</v>
      </c>
      <c r="Y45" s="378">
        <f t="shared" si="110"/>
        <v>0</v>
      </c>
      <c r="Z45" s="378">
        <f t="shared" si="110"/>
        <v>0</v>
      </c>
      <c r="AA45" s="378">
        <f t="shared" si="110"/>
        <v>0</v>
      </c>
      <c r="AB45" s="378">
        <f t="shared" si="110"/>
        <v>0</v>
      </c>
      <c r="AC45" s="378">
        <f t="shared" si="110"/>
        <v>0</v>
      </c>
      <c r="AD45" s="378">
        <f t="shared" si="110"/>
        <v>0</v>
      </c>
      <c r="AE45" s="752">
        <f t="shared" si="110"/>
        <v>0</v>
      </c>
      <c r="AF45" s="754">
        <f t="shared" si="110"/>
        <v>0</v>
      </c>
      <c r="AG45" s="398">
        <f t="shared" si="110"/>
        <v>0</v>
      </c>
      <c r="AH45" s="398">
        <f t="shared" si="110"/>
        <v>0</v>
      </c>
      <c r="AI45" s="398">
        <f t="shared" si="110"/>
        <v>0</v>
      </c>
      <c r="AJ45" s="398">
        <f t="shared" si="110"/>
        <v>0</v>
      </c>
      <c r="AK45" s="398">
        <f t="shared" si="110"/>
        <v>0</v>
      </c>
      <c r="AL45" s="340">
        <f t="shared" si="110"/>
        <v>0</v>
      </c>
      <c r="AM45" s="444">
        <f t="shared" si="110"/>
        <v>6770603</v>
      </c>
      <c r="AN45" s="378">
        <f t="shared" si="110"/>
        <v>5022702</v>
      </c>
      <c r="AO45" s="378">
        <f t="shared" si="110"/>
        <v>0</v>
      </c>
      <c r="AP45" s="378">
        <f t="shared" si="110"/>
        <v>1697674</v>
      </c>
      <c r="AQ45" s="378">
        <f t="shared" si="110"/>
        <v>50227</v>
      </c>
      <c r="AR45" s="378">
        <f t="shared" si="110"/>
        <v>0</v>
      </c>
      <c r="AS45" s="398">
        <f t="shared" si="110"/>
        <v>8.75</v>
      </c>
    </row>
    <row r="46" spans="1:45" s="152" customFormat="1" ht="12.75" customHeight="1" x14ac:dyDescent="0.2">
      <c r="A46" s="154">
        <v>13</v>
      </c>
      <c r="B46" s="155">
        <v>3473</v>
      </c>
      <c r="C46" s="155">
        <v>691003530</v>
      </c>
      <c r="D46" s="155">
        <v>72550392</v>
      </c>
      <c r="E46" s="156" t="s">
        <v>31</v>
      </c>
      <c r="F46" s="155">
        <v>3111</v>
      </c>
      <c r="G46" s="156" t="s">
        <v>277</v>
      </c>
      <c r="H46" s="157" t="s">
        <v>262</v>
      </c>
      <c r="I46" s="610">
        <v>8066537</v>
      </c>
      <c r="J46" s="410">
        <v>5984078</v>
      </c>
      <c r="K46" s="410">
        <v>0</v>
      </c>
      <c r="L46" s="431">
        <v>2022618</v>
      </c>
      <c r="M46" s="431">
        <v>59841</v>
      </c>
      <c r="N46" s="431">
        <v>0</v>
      </c>
      <c r="O46" s="747">
        <v>10</v>
      </c>
      <c r="P46" s="445">
        <f>W46*-1</f>
        <v>0</v>
      </c>
      <c r="Q46" s="325">
        <v>0</v>
      </c>
      <c r="R46" s="325">
        <v>0</v>
      </c>
      <c r="S46" s="325">
        <v>0</v>
      </c>
      <c r="T46" s="325">
        <v>0</v>
      </c>
      <c r="U46" s="325">
        <v>0</v>
      </c>
      <c r="V46" s="492">
        <f>P46+Q46+R46+S46+T46+U46</f>
        <v>0</v>
      </c>
      <c r="W46" s="325">
        <v>0</v>
      </c>
      <c r="X46" s="325">
        <v>0</v>
      </c>
      <c r="Y46" s="325">
        <v>0</v>
      </c>
      <c r="Z46" s="492">
        <f>W46+X46+Y46</f>
        <v>0</v>
      </c>
      <c r="AA46" s="492">
        <f>V46+Z46</f>
        <v>0</v>
      </c>
      <c r="AB46" s="494">
        <f>ROUND((V46+Z46)*33.8%,0)</f>
        <v>0</v>
      </c>
      <c r="AC46" s="494">
        <f>ROUND(V46*1%,0)</f>
        <v>0</v>
      </c>
      <c r="AD46" s="492">
        <v>0</v>
      </c>
      <c r="AE46" s="753">
        <f>AA46+AB46+AC46+AD46</f>
        <v>0</v>
      </c>
      <c r="AF46" s="688">
        <v>0</v>
      </c>
      <c r="AG46" s="326">
        <v>0</v>
      </c>
      <c r="AH46" s="326">
        <v>0</v>
      </c>
      <c r="AI46" s="326">
        <v>0</v>
      </c>
      <c r="AJ46" s="326">
        <v>0</v>
      </c>
      <c r="AK46" s="326">
        <v>0</v>
      </c>
      <c r="AL46" s="609">
        <f>SUM(AF46:AK46)</f>
        <v>0</v>
      </c>
      <c r="AM46" s="493">
        <f>I46+AE46</f>
        <v>8066537</v>
      </c>
      <c r="AN46" s="492">
        <f>J46+V46</f>
        <v>5984078</v>
      </c>
      <c r="AO46" s="573">
        <f t="shared" ref="AO46:AO47" si="111">K46+Z46</f>
        <v>0</v>
      </c>
      <c r="AP46" s="492">
        <f>L46+AB46</f>
        <v>2022618</v>
      </c>
      <c r="AQ46" s="492">
        <f>M46+AC46</f>
        <v>59841</v>
      </c>
      <c r="AR46" s="573">
        <f t="shared" ref="AR46:AR47" si="112">N46+AD46</f>
        <v>0</v>
      </c>
      <c r="AS46" s="491">
        <f>O46+AL46</f>
        <v>10</v>
      </c>
    </row>
    <row r="47" spans="1:45" s="152" customFormat="1" ht="12.75" customHeight="1" x14ac:dyDescent="0.2">
      <c r="A47" s="154">
        <v>13</v>
      </c>
      <c r="B47" s="155">
        <v>3473</v>
      </c>
      <c r="C47" s="155">
        <v>691003530</v>
      </c>
      <c r="D47" s="155">
        <v>72550392</v>
      </c>
      <c r="E47" s="156" t="s">
        <v>31</v>
      </c>
      <c r="F47" s="155">
        <v>3111</v>
      </c>
      <c r="G47" s="156" t="s">
        <v>284</v>
      </c>
      <c r="H47" s="157" t="s">
        <v>263</v>
      </c>
      <c r="I47" s="610">
        <v>182834</v>
      </c>
      <c r="J47" s="410">
        <v>135634</v>
      </c>
      <c r="K47" s="410">
        <v>0</v>
      </c>
      <c r="L47" s="431">
        <v>45844</v>
      </c>
      <c r="M47" s="431">
        <v>1356</v>
      </c>
      <c r="N47" s="431">
        <v>0</v>
      </c>
      <c r="O47" s="747">
        <v>0.46</v>
      </c>
      <c r="P47" s="445">
        <f>W47*-1</f>
        <v>0</v>
      </c>
      <c r="Q47" s="325">
        <v>0</v>
      </c>
      <c r="R47" s="325">
        <v>0</v>
      </c>
      <c r="S47" s="325">
        <v>0</v>
      </c>
      <c r="T47" s="325">
        <v>0</v>
      </c>
      <c r="U47" s="325">
        <v>0</v>
      </c>
      <c r="V47" s="492">
        <f>P47+Q47+R47+S47+T47+U47</f>
        <v>0</v>
      </c>
      <c r="W47" s="325">
        <v>0</v>
      </c>
      <c r="X47" s="325">
        <v>0</v>
      </c>
      <c r="Y47" s="325">
        <v>0</v>
      </c>
      <c r="Z47" s="492">
        <f>W47+X47+Y47</f>
        <v>0</v>
      </c>
      <c r="AA47" s="492">
        <f>V47+Z47</f>
        <v>0</v>
      </c>
      <c r="AB47" s="494">
        <f>ROUND((V47+Z47)*33.8%,0)</f>
        <v>0</v>
      </c>
      <c r="AC47" s="494">
        <f>ROUND(V47*1%,0)</f>
        <v>0</v>
      </c>
      <c r="AD47" s="492">
        <v>0</v>
      </c>
      <c r="AE47" s="753">
        <f>AA47+AB47+AC47+AD47</f>
        <v>0</v>
      </c>
      <c r="AF47" s="688">
        <v>0</v>
      </c>
      <c r="AG47" s="326">
        <v>0</v>
      </c>
      <c r="AH47" s="326">
        <v>0</v>
      </c>
      <c r="AI47" s="326">
        <v>0</v>
      </c>
      <c r="AJ47" s="326">
        <v>0</v>
      </c>
      <c r="AK47" s="326">
        <v>0</v>
      </c>
      <c r="AL47" s="609">
        <f>SUM(AF47:AK47)</f>
        <v>0</v>
      </c>
      <c r="AM47" s="493">
        <f>I47+AE47</f>
        <v>182834</v>
      </c>
      <c r="AN47" s="492">
        <f>J47+V47</f>
        <v>135634</v>
      </c>
      <c r="AO47" s="573">
        <f t="shared" si="111"/>
        <v>0</v>
      </c>
      <c r="AP47" s="492">
        <f>L47+AB47</f>
        <v>45844</v>
      </c>
      <c r="AQ47" s="492">
        <f>M47+AC47</f>
        <v>1356</v>
      </c>
      <c r="AR47" s="573">
        <f t="shared" si="112"/>
        <v>0</v>
      </c>
      <c r="AS47" s="491">
        <f>O47+AL47</f>
        <v>0.46</v>
      </c>
    </row>
    <row r="48" spans="1:45" s="152" customFormat="1" ht="12.75" customHeight="1" x14ac:dyDescent="0.2">
      <c r="A48" s="105">
        <v>13</v>
      </c>
      <c r="B48" s="12">
        <v>3473</v>
      </c>
      <c r="C48" s="104">
        <v>691003530</v>
      </c>
      <c r="D48" s="104">
        <v>72550392</v>
      </c>
      <c r="E48" s="153" t="s">
        <v>32</v>
      </c>
      <c r="F48" s="12"/>
      <c r="G48" s="153"/>
      <c r="H48" s="407"/>
      <c r="I48" s="746">
        <v>8249371</v>
      </c>
      <c r="J48" s="378">
        <v>6119712</v>
      </c>
      <c r="K48" s="378">
        <v>0</v>
      </c>
      <c r="L48" s="378">
        <v>2068462</v>
      </c>
      <c r="M48" s="378">
        <v>61197</v>
      </c>
      <c r="N48" s="378">
        <v>0</v>
      </c>
      <c r="O48" s="340">
        <v>10.46</v>
      </c>
      <c r="P48" s="444">
        <f>SUM(P46:P47)</f>
        <v>0</v>
      </c>
      <c r="Q48" s="378">
        <f>SUM(Q46:Q47)</f>
        <v>0</v>
      </c>
      <c r="R48" s="378">
        <f t="shared" ref="R48:AE48" si="113">SUM(R46:R47)</f>
        <v>0</v>
      </c>
      <c r="S48" s="378">
        <f t="shared" si="113"/>
        <v>0</v>
      </c>
      <c r="T48" s="378">
        <f t="shared" si="113"/>
        <v>0</v>
      </c>
      <c r="U48" s="378">
        <f t="shared" si="113"/>
        <v>0</v>
      </c>
      <c r="V48" s="378">
        <f t="shared" si="113"/>
        <v>0</v>
      </c>
      <c r="W48" s="378">
        <f t="shared" si="113"/>
        <v>0</v>
      </c>
      <c r="X48" s="378">
        <f t="shared" si="113"/>
        <v>0</v>
      </c>
      <c r="Y48" s="378">
        <f t="shared" si="113"/>
        <v>0</v>
      </c>
      <c r="Z48" s="378">
        <f t="shared" si="113"/>
        <v>0</v>
      </c>
      <c r="AA48" s="378">
        <f t="shared" si="113"/>
        <v>0</v>
      </c>
      <c r="AB48" s="378">
        <f t="shared" si="113"/>
        <v>0</v>
      </c>
      <c r="AC48" s="378">
        <f t="shared" si="113"/>
        <v>0</v>
      </c>
      <c r="AD48" s="378">
        <f t="shared" si="113"/>
        <v>0</v>
      </c>
      <c r="AE48" s="752">
        <f t="shared" si="113"/>
        <v>0</v>
      </c>
      <c r="AF48" s="754">
        <f>SUM(AF46:AF47)</f>
        <v>0</v>
      </c>
      <c r="AG48" s="398">
        <f t="shared" ref="AG48:AL48" si="114">SUM(AG46:AG47)</f>
        <v>0</v>
      </c>
      <c r="AH48" s="398">
        <f t="shared" si="114"/>
        <v>0</v>
      </c>
      <c r="AI48" s="398">
        <f t="shared" si="114"/>
        <v>0</v>
      </c>
      <c r="AJ48" s="398">
        <f t="shared" si="114"/>
        <v>0</v>
      </c>
      <c r="AK48" s="398">
        <f t="shared" si="114"/>
        <v>0</v>
      </c>
      <c r="AL48" s="340">
        <f t="shared" si="114"/>
        <v>0</v>
      </c>
      <c r="AM48" s="444">
        <f>SUM(AM46:AM47)</f>
        <v>8249371</v>
      </c>
      <c r="AN48" s="444">
        <f t="shared" ref="AN48:AR48" si="115">SUM(AN46:AN47)</f>
        <v>6119712</v>
      </c>
      <c r="AO48" s="444">
        <f t="shared" si="115"/>
        <v>0</v>
      </c>
      <c r="AP48" s="444">
        <f t="shared" si="115"/>
        <v>2068462</v>
      </c>
      <c r="AQ48" s="444">
        <f t="shared" si="115"/>
        <v>61197</v>
      </c>
      <c r="AR48" s="444">
        <f t="shared" si="115"/>
        <v>0</v>
      </c>
      <c r="AS48" s="398">
        <f>SUM(AS46:AS47)</f>
        <v>10.46</v>
      </c>
    </row>
    <row r="49" spans="1:45" s="152" customFormat="1" ht="12.75" customHeight="1" x14ac:dyDescent="0.2">
      <c r="A49" s="154">
        <v>14</v>
      </c>
      <c r="B49" s="155">
        <v>3466</v>
      </c>
      <c r="C49" s="155">
        <v>691001260</v>
      </c>
      <c r="D49" s="155">
        <v>72048085</v>
      </c>
      <c r="E49" s="156" t="s">
        <v>33</v>
      </c>
      <c r="F49" s="155">
        <v>3111</v>
      </c>
      <c r="G49" s="156" t="s">
        <v>277</v>
      </c>
      <c r="H49" s="157" t="s">
        <v>262</v>
      </c>
      <c r="I49" s="610">
        <v>5039586</v>
      </c>
      <c r="J49" s="410">
        <v>3738565</v>
      </c>
      <c r="K49" s="410">
        <v>0</v>
      </c>
      <c r="L49" s="431">
        <v>1263635</v>
      </c>
      <c r="M49" s="431">
        <v>37386</v>
      </c>
      <c r="N49" s="431">
        <v>0</v>
      </c>
      <c r="O49" s="747">
        <v>6</v>
      </c>
      <c r="P49" s="445">
        <f>W49*-1</f>
        <v>0</v>
      </c>
      <c r="Q49" s="325">
        <v>0</v>
      </c>
      <c r="R49" s="325">
        <v>0</v>
      </c>
      <c r="S49" s="325">
        <v>0</v>
      </c>
      <c r="T49" s="325">
        <v>0</v>
      </c>
      <c r="U49" s="325">
        <v>0</v>
      </c>
      <c r="V49" s="492">
        <f t="shared" ref="V49:V50" si="116">P49+Q49+R49+S49+T49+U49</f>
        <v>0</v>
      </c>
      <c r="W49" s="325">
        <v>0</v>
      </c>
      <c r="X49" s="325">
        <v>0</v>
      </c>
      <c r="Y49" s="325">
        <v>0</v>
      </c>
      <c r="Z49" s="492">
        <f t="shared" ref="Z49:Z50" si="117">W49+X49+Y49</f>
        <v>0</v>
      </c>
      <c r="AA49" s="492">
        <f t="shared" ref="AA49:AA50" si="118">V49+Z49</f>
        <v>0</v>
      </c>
      <c r="AB49" s="494">
        <f t="shared" ref="AB49:AB50" si="119">ROUND((V49+Z49)*33.8%,0)</f>
        <v>0</v>
      </c>
      <c r="AC49" s="494">
        <f t="shared" ref="AC49:AC50" si="120">ROUND(V49*1%,0)</f>
        <v>0</v>
      </c>
      <c r="AD49" s="492">
        <v>0</v>
      </c>
      <c r="AE49" s="753">
        <f t="shared" ref="AE49:AE50" si="121">AA49+AB49+AC49+AD49</f>
        <v>0</v>
      </c>
      <c r="AF49" s="688">
        <v>0</v>
      </c>
      <c r="AG49" s="326">
        <v>0</v>
      </c>
      <c r="AH49" s="326">
        <v>0</v>
      </c>
      <c r="AI49" s="326">
        <v>0</v>
      </c>
      <c r="AJ49" s="326">
        <v>0</v>
      </c>
      <c r="AK49" s="326">
        <v>0</v>
      </c>
      <c r="AL49" s="609">
        <f t="shared" ref="AL49:AL50" si="122">SUM(AF49:AK49)</f>
        <v>0</v>
      </c>
      <c r="AM49" s="493">
        <f>I49+AE49</f>
        <v>5039586</v>
      </c>
      <c r="AN49" s="492">
        <f>J49+V49</f>
        <v>3738565</v>
      </c>
      <c r="AO49" s="573">
        <f t="shared" ref="AO49:AO50" si="123">K49+Z49</f>
        <v>0</v>
      </c>
      <c r="AP49" s="492">
        <f>L49+AB49</f>
        <v>1263635</v>
      </c>
      <c r="AQ49" s="492">
        <f>M49+AC49</f>
        <v>37386</v>
      </c>
      <c r="AR49" s="573">
        <f t="shared" ref="AR49:AR50" si="124">N49+AD49</f>
        <v>0</v>
      </c>
      <c r="AS49" s="491">
        <f t="shared" ref="AS49:AS50" si="125">O49+AL49</f>
        <v>6</v>
      </c>
    </row>
    <row r="50" spans="1:45" s="152" customFormat="1" x14ac:dyDescent="0.2">
      <c r="A50" s="154">
        <v>14</v>
      </c>
      <c r="B50" s="155">
        <v>3466</v>
      </c>
      <c r="C50" s="155">
        <v>691001260</v>
      </c>
      <c r="D50" s="155">
        <v>72048085</v>
      </c>
      <c r="E50" s="156" t="s">
        <v>33</v>
      </c>
      <c r="F50" s="155">
        <v>3111</v>
      </c>
      <c r="G50" s="156" t="s">
        <v>278</v>
      </c>
      <c r="H50" s="157" t="s">
        <v>263</v>
      </c>
      <c r="I50" s="580">
        <v>1144206</v>
      </c>
      <c r="J50" s="323">
        <v>848818</v>
      </c>
      <c r="K50" s="410">
        <v>0</v>
      </c>
      <c r="L50" s="431">
        <v>286900</v>
      </c>
      <c r="M50" s="431">
        <v>8488</v>
      </c>
      <c r="N50" s="431">
        <v>0</v>
      </c>
      <c r="O50" s="748">
        <v>2.14</v>
      </c>
      <c r="P50" s="440">
        <f>W50*-1</f>
        <v>0</v>
      </c>
      <c r="Q50" s="325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 t="shared" si="116"/>
        <v>0</v>
      </c>
      <c r="W50" s="325">
        <v>0</v>
      </c>
      <c r="X50" s="325">
        <v>0</v>
      </c>
      <c r="Y50" s="325">
        <v>0</v>
      </c>
      <c r="Z50" s="492">
        <f t="shared" si="117"/>
        <v>0</v>
      </c>
      <c r="AA50" s="492">
        <f t="shared" si="118"/>
        <v>0</v>
      </c>
      <c r="AB50" s="494">
        <f t="shared" si="119"/>
        <v>0</v>
      </c>
      <c r="AC50" s="494">
        <f t="shared" si="120"/>
        <v>0</v>
      </c>
      <c r="AD50" s="492">
        <v>0</v>
      </c>
      <c r="AE50" s="753">
        <f t="shared" si="121"/>
        <v>0</v>
      </c>
      <c r="AF50" s="688">
        <v>0</v>
      </c>
      <c r="AG50" s="326">
        <v>0</v>
      </c>
      <c r="AH50" s="326">
        <v>0</v>
      </c>
      <c r="AI50" s="326">
        <v>0</v>
      </c>
      <c r="AJ50" s="326">
        <v>0</v>
      </c>
      <c r="AK50" s="326">
        <v>0</v>
      </c>
      <c r="AL50" s="609">
        <f t="shared" si="122"/>
        <v>0</v>
      </c>
      <c r="AM50" s="493">
        <f>I50+AE50</f>
        <v>1144206</v>
      </c>
      <c r="AN50" s="492">
        <f>J50+V50</f>
        <v>848818</v>
      </c>
      <c r="AO50" s="573">
        <f t="shared" si="123"/>
        <v>0</v>
      </c>
      <c r="AP50" s="492">
        <f>L50+AB50</f>
        <v>286900</v>
      </c>
      <c r="AQ50" s="492">
        <f>M50+AC50</f>
        <v>8488</v>
      </c>
      <c r="AR50" s="573">
        <f t="shared" si="124"/>
        <v>0</v>
      </c>
      <c r="AS50" s="491">
        <f t="shared" si="125"/>
        <v>2.14</v>
      </c>
    </row>
    <row r="51" spans="1:45" s="152" customFormat="1" ht="12.75" customHeight="1" x14ac:dyDescent="0.2">
      <c r="A51" s="105">
        <v>14</v>
      </c>
      <c r="B51" s="12">
        <v>3466</v>
      </c>
      <c r="C51" s="104">
        <v>691001260</v>
      </c>
      <c r="D51" s="104">
        <v>72048085</v>
      </c>
      <c r="E51" s="153" t="s">
        <v>34</v>
      </c>
      <c r="F51" s="12"/>
      <c r="G51" s="153"/>
      <c r="H51" s="407"/>
      <c r="I51" s="746">
        <v>6183792</v>
      </c>
      <c r="J51" s="378">
        <v>4587383</v>
      </c>
      <c r="K51" s="378">
        <v>0</v>
      </c>
      <c r="L51" s="378">
        <v>1550535</v>
      </c>
      <c r="M51" s="378">
        <v>45874</v>
      </c>
      <c r="N51" s="378">
        <v>0</v>
      </c>
      <c r="O51" s="340">
        <v>8.14</v>
      </c>
      <c r="P51" s="444">
        <f t="shared" ref="P51:AS51" si="126">SUM(P49:P50)</f>
        <v>0</v>
      </c>
      <c r="Q51" s="378">
        <f t="shared" si="126"/>
        <v>0</v>
      </c>
      <c r="R51" s="378">
        <f t="shared" si="126"/>
        <v>0</v>
      </c>
      <c r="S51" s="378">
        <f t="shared" si="126"/>
        <v>0</v>
      </c>
      <c r="T51" s="378">
        <f t="shared" si="126"/>
        <v>0</v>
      </c>
      <c r="U51" s="378">
        <f t="shared" si="126"/>
        <v>0</v>
      </c>
      <c r="V51" s="378">
        <f t="shared" si="126"/>
        <v>0</v>
      </c>
      <c r="W51" s="378">
        <f t="shared" si="126"/>
        <v>0</v>
      </c>
      <c r="X51" s="378">
        <f t="shared" si="126"/>
        <v>0</v>
      </c>
      <c r="Y51" s="378">
        <f t="shared" si="126"/>
        <v>0</v>
      </c>
      <c r="Z51" s="378">
        <f t="shared" si="126"/>
        <v>0</v>
      </c>
      <c r="AA51" s="378">
        <f t="shared" si="126"/>
        <v>0</v>
      </c>
      <c r="AB51" s="378">
        <f t="shared" si="126"/>
        <v>0</v>
      </c>
      <c r="AC51" s="378">
        <f t="shared" si="126"/>
        <v>0</v>
      </c>
      <c r="AD51" s="378">
        <f t="shared" si="126"/>
        <v>0</v>
      </c>
      <c r="AE51" s="752">
        <f t="shared" si="126"/>
        <v>0</v>
      </c>
      <c r="AF51" s="754">
        <f t="shared" si="126"/>
        <v>0</v>
      </c>
      <c r="AG51" s="398">
        <f t="shared" si="126"/>
        <v>0</v>
      </c>
      <c r="AH51" s="398">
        <f t="shared" si="126"/>
        <v>0</v>
      </c>
      <c r="AI51" s="398">
        <f t="shared" si="126"/>
        <v>0</v>
      </c>
      <c r="AJ51" s="398">
        <f t="shared" si="126"/>
        <v>0</v>
      </c>
      <c r="AK51" s="398">
        <f t="shared" si="126"/>
        <v>0</v>
      </c>
      <c r="AL51" s="340">
        <f t="shared" si="126"/>
        <v>0</v>
      </c>
      <c r="AM51" s="444">
        <f t="shared" si="126"/>
        <v>6183792</v>
      </c>
      <c r="AN51" s="378">
        <f t="shared" si="126"/>
        <v>4587383</v>
      </c>
      <c r="AO51" s="378">
        <f t="shared" si="126"/>
        <v>0</v>
      </c>
      <c r="AP51" s="378">
        <f t="shared" si="126"/>
        <v>1550535</v>
      </c>
      <c r="AQ51" s="378">
        <f t="shared" si="126"/>
        <v>45874</v>
      </c>
      <c r="AR51" s="378">
        <f t="shared" si="126"/>
        <v>0</v>
      </c>
      <c r="AS51" s="398">
        <f t="shared" si="126"/>
        <v>8.14</v>
      </c>
    </row>
    <row r="52" spans="1:45" s="152" customFormat="1" ht="12.75" customHeight="1" x14ac:dyDescent="0.2">
      <c r="A52" s="154">
        <v>15</v>
      </c>
      <c r="B52" s="155">
        <v>3407</v>
      </c>
      <c r="C52" s="155">
        <v>667000089</v>
      </c>
      <c r="D52" s="155">
        <v>72743778</v>
      </c>
      <c r="E52" s="156" t="s">
        <v>35</v>
      </c>
      <c r="F52" s="155">
        <v>3111</v>
      </c>
      <c r="G52" s="156" t="s">
        <v>277</v>
      </c>
      <c r="H52" s="157" t="s">
        <v>262</v>
      </c>
      <c r="I52" s="610">
        <v>16335894</v>
      </c>
      <c r="J52" s="410">
        <v>12118615</v>
      </c>
      <c r="K52" s="410">
        <v>0</v>
      </c>
      <c r="L52" s="431">
        <v>4096092</v>
      </c>
      <c r="M52" s="431">
        <v>121187</v>
      </c>
      <c r="N52" s="431">
        <v>0</v>
      </c>
      <c r="O52" s="747">
        <v>20.53</v>
      </c>
      <c r="P52" s="445">
        <f>W52*-1</f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0</v>
      </c>
      <c r="V52" s="492">
        <f t="shared" ref="V52:V53" si="127">P52+Q52+R52+S52+T52+U52</f>
        <v>0</v>
      </c>
      <c r="W52" s="325">
        <v>0</v>
      </c>
      <c r="X52" s="325">
        <v>0</v>
      </c>
      <c r="Y52" s="325">
        <v>0</v>
      </c>
      <c r="Z52" s="492">
        <f t="shared" ref="Z52:Z53" si="128">W52+X52+Y52</f>
        <v>0</v>
      </c>
      <c r="AA52" s="492">
        <f t="shared" ref="AA52:AA53" si="129">V52+Z52</f>
        <v>0</v>
      </c>
      <c r="AB52" s="494">
        <f t="shared" ref="AB52:AB53" si="130">ROUND((V52+Z52)*33.8%,0)</f>
        <v>0</v>
      </c>
      <c r="AC52" s="494">
        <f t="shared" ref="AC52:AC53" si="131">ROUND(V52*1%,0)</f>
        <v>0</v>
      </c>
      <c r="AD52" s="492">
        <v>0</v>
      </c>
      <c r="AE52" s="753">
        <f t="shared" ref="AE52:AE53" si="132">AA52+AB52+AC52+AD52</f>
        <v>0</v>
      </c>
      <c r="AF52" s="688">
        <v>0</v>
      </c>
      <c r="AG52" s="326">
        <v>0</v>
      </c>
      <c r="AH52" s="326">
        <v>0</v>
      </c>
      <c r="AI52" s="326">
        <v>0</v>
      </c>
      <c r="AJ52" s="326">
        <v>0</v>
      </c>
      <c r="AK52" s="326">
        <v>0</v>
      </c>
      <c r="AL52" s="609">
        <f t="shared" ref="AL52:AL53" si="133">SUM(AF52:AK52)</f>
        <v>0</v>
      </c>
      <c r="AM52" s="493">
        <f>I52+AE52</f>
        <v>16335894</v>
      </c>
      <c r="AN52" s="492">
        <f>J52+V52</f>
        <v>12118615</v>
      </c>
      <c r="AO52" s="573">
        <f t="shared" ref="AO52:AO53" si="134">K52+Z52</f>
        <v>0</v>
      </c>
      <c r="AP52" s="492">
        <f>L52+AB52</f>
        <v>4096092</v>
      </c>
      <c r="AQ52" s="492">
        <f>M52+AC52</f>
        <v>121187</v>
      </c>
      <c r="AR52" s="573">
        <f t="shared" ref="AR52:AR53" si="135">N52+AD52</f>
        <v>0</v>
      </c>
      <c r="AS52" s="491">
        <f t="shared" ref="AS52:AS53" si="136">O52+AL52</f>
        <v>20.53</v>
      </c>
    </row>
    <row r="53" spans="1:45" s="152" customFormat="1" ht="12.75" customHeight="1" x14ac:dyDescent="0.2">
      <c r="A53" s="154">
        <v>15</v>
      </c>
      <c r="B53" s="155">
        <v>3407</v>
      </c>
      <c r="C53" s="155">
        <v>667000089</v>
      </c>
      <c r="D53" s="155">
        <v>72743778</v>
      </c>
      <c r="E53" s="156" t="s">
        <v>35</v>
      </c>
      <c r="F53" s="155">
        <v>3111</v>
      </c>
      <c r="G53" s="156" t="s">
        <v>278</v>
      </c>
      <c r="H53" s="157" t="s">
        <v>263</v>
      </c>
      <c r="I53" s="580">
        <v>2273538</v>
      </c>
      <c r="J53" s="323">
        <v>1686601</v>
      </c>
      <c r="K53" s="410">
        <v>0</v>
      </c>
      <c r="L53" s="431">
        <v>570071</v>
      </c>
      <c r="M53" s="431">
        <v>16866</v>
      </c>
      <c r="N53" s="431">
        <v>0</v>
      </c>
      <c r="O53" s="748">
        <v>4.25</v>
      </c>
      <c r="P53" s="440">
        <f>W53*-1</f>
        <v>0</v>
      </c>
      <c r="Q53" s="325">
        <v>0</v>
      </c>
      <c r="R53" s="325">
        <v>0</v>
      </c>
      <c r="S53" s="325">
        <v>0</v>
      </c>
      <c r="T53" s="325">
        <v>0</v>
      </c>
      <c r="U53" s="325">
        <v>0</v>
      </c>
      <c r="V53" s="492">
        <f t="shared" si="127"/>
        <v>0</v>
      </c>
      <c r="W53" s="325">
        <v>0</v>
      </c>
      <c r="X53" s="325">
        <v>0</v>
      </c>
      <c r="Y53" s="325">
        <v>0</v>
      </c>
      <c r="Z53" s="492">
        <f t="shared" si="128"/>
        <v>0</v>
      </c>
      <c r="AA53" s="492">
        <f t="shared" si="129"/>
        <v>0</v>
      </c>
      <c r="AB53" s="494">
        <f t="shared" si="130"/>
        <v>0</v>
      </c>
      <c r="AC53" s="494">
        <f t="shared" si="131"/>
        <v>0</v>
      </c>
      <c r="AD53" s="492">
        <v>0</v>
      </c>
      <c r="AE53" s="753">
        <f t="shared" si="132"/>
        <v>0</v>
      </c>
      <c r="AF53" s="688">
        <v>0</v>
      </c>
      <c r="AG53" s="326">
        <v>0</v>
      </c>
      <c r="AH53" s="326">
        <v>0</v>
      </c>
      <c r="AI53" s="326">
        <v>0</v>
      </c>
      <c r="AJ53" s="326">
        <v>0</v>
      </c>
      <c r="AK53" s="326">
        <v>0</v>
      </c>
      <c r="AL53" s="609">
        <f t="shared" si="133"/>
        <v>0</v>
      </c>
      <c r="AM53" s="493">
        <f>I53+AE53</f>
        <v>2273538</v>
      </c>
      <c r="AN53" s="492">
        <f>J53+V53</f>
        <v>1686601</v>
      </c>
      <c r="AO53" s="573">
        <f t="shared" si="134"/>
        <v>0</v>
      </c>
      <c r="AP53" s="492">
        <f>L53+AB53</f>
        <v>570071</v>
      </c>
      <c r="AQ53" s="492">
        <f>M53+AC53</f>
        <v>16866</v>
      </c>
      <c r="AR53" s="573">
        <f t="shared" si="135"/>
        <v>0</v>
      </c>
      <c r="AS53" s="491">
        <f t="shared" si="136"/>
        <v>4.25</v>
      </c>
    </row>
    <row r="54" spans="1:45" s="152" customFormat="1" ht="12.75" customHeight="1" x14ac:dyDescent="0.2">
      <c r="A54" s="105">
        <v>15</v>
      </c>
      <c r="B54" s="12">
        <v>3407</v>
      </c>
      <c r="C54" s="104">
        <v>667000089</v>
      </c>
      <c r="D54" s="104">
        <v>72743778</v>
      </c>
      <c r="E54" s="153" t="s">
        <v>36</v>
      </c>
      <c r="F54" s="12"/>
      <c r="G54" s="153"/>
      <c r="H54" s="407"/>
      <c r="I54" s="746">
        <v>18609432</v>
      </c>
      <c r="J54" s="378">
        <v>13805216</v>
      </c>
      <c r="K54" s="378">
        <v>0</v>
      </c>
      <c r="L54" s="378">
        <v>4666163</v>
      </c>
      <c r="M54" s="378">
        <v>138053</v>
      </c>
      <c r="N54" s="378">
        <v>0</v>
      </c>
      <c r="O54" s="340">
        <v>24.78</v>
      </c>
      <c r="P54" s="444">
        <f t="shared" ref="P54:AS54" si="137">SUM(P52:P53)</f>
        <v>0</v>
      </c>
      <c r="Q54" s="378">
        <f t="shared" si="137"/>
        <v>0</v>
      </c>
      <c r="R54" s="378">
        <f t="shared" si="137"/>
        <v>0</v>
      </c>
      <c r="S54" s="378">
        <f t="shared" si="137"/>
        <v>0</v>
      </c>
      <c r="T54" s="378">
        <f t="shared" si="137"/>
        <v>0</v>
      </c>
      <c r="U54" s="378">
        <f t="shared" si="137"/>
        <v>0</v>
      </c>
      <c r="V54" s="378">
        <f t="shared" si="137"/>
        <v>0</v>
      </c>
      <c r="W54" s="378">
        <f t="shared" si="137"/>
        <v>0</v>
      </c>
      <c r="X54" s="378">
        <f t="shared" si="137"/>
        <v>0</v>
      </c>
      <c r="Y54" s="378">
        <f t="shared" si="137"/>
        <v>0</v>
      </c>
      <c r="Z54" s="378">
        <f t="shared" si="137"/>
        <v>0</v>
      </c>
      <c r="AA54" s="378">
        <f t="shared" si="137"/>
        <v>0</v>
      </c>
      <c r="AB54" s="378">
        <f t="shared" si="137"/>
        <v>0</v>
      </c>
      <c r="AC54" s="378">
        <f t="shared" si="137"/>
        <v>0</v>
      </c>
      <c r="AD54" s="378">
        <f t="shared" si="137"/>
        <v>0</v>
      </c>
      <c r="AE54" s="752">
        <f t="shared" si="137"/>
        <v>0</v>
      </c>
      <c r="AF54" s="754">
        <f t="shared" si="137"/>
        <v>0</v>
      </c>
      <c r="AG54" s="398">
        <f t="shared" si="137"/>
        <v>0</v>
      </c>
      <c r="AH54" s="398">
        <f t="shared" si="137"/>
        <v>0</v>
      </c>
      <c r="AI54" s="398">
        <f t="shared" si="137"/>
        <v>0</v>
      </c>
      <c r="AJ54" s="398">
        <f t="shared" si="137"/>
        <v>0</v>
      </c>
      <c r="AK54" s="398">
        <f t="shared" si="137"/>
        <v>0</v>
      </c>
      <c r="AL54" s="340">
        <f t="shared" si="137"/>
        <v>0</v>
      </c>
      <c r="AM54" s="444">
        <f t="shared" si="137"/>
        <v>18609432</v>
      </c>
      <c r="AN54" s="378">
        <f t="shared" si="137"/>
        <v>13805216</v>
      </c>
      <c r="AO54" s="378">
        <f t="shared" si="137"/>
        <v>0</v>
      </c>
      <c r="AP54" s="378">
        <f t="shared" si="137"/>
        <v>4666163</v>
      </c>
      <c r="AQ54" s="378">
        <f t="shared" si="137"/>
        <v>138053</v>
      </c>
      <c r="AR54" s="378">
        <f t="shared" si="137"/>
        <v>0</v>
      </c>
      <c r="AS54" s="398">
        <f t="shared" si="137"/>
        <v>24.78</v>
      </c>
    </row>
    <row r="55" spans="1:45" s="152" customFormat="1" ht="12.75" customHeight="1" x14ac:dyDescent="0.2">
      <c r="A55" s="154">
        <v>16</v>
      </c>
      <c r="B55" s="155">
        <v>3463</v>
      </c>
      <c r="C55" s="155">
        <v>691001308</v>
      </c>
      <c r="D55" s="155">
        <v>72048166</v>
      </c>
      <c r="E55" s="156" t="s">
        <v>37</v>
      </c>
      <c r="F55" s="155">
        <v>3111</v>
      </c>
      <c r="G55" s="156" t="s">
        <v>277</v>
      </c>
      <c r="H55" s="157" t="s">
        <v>262</v>
      </c>
      <c r="I55" s="610">
        <v>7037598</v>
      </c>
      <c r="J55" s="410">
        <v>5208859</v>
      </c>
      <c r="K55" s="410">
        <v>12000</v>
      </c>
      <c r="L55" s="431">
        <v>1764650</v>
      </c>
      <c r="M55" s="431">
        <v>52089</v>
      </c>
      <c r="N55" s="431">
        <v>0</v>
      </c>
      <c r="O55" s="747">
        <v>8.4499999999999993</v>
      </c>
      <c r="P55" s="445">
        <f>W55*-1</f>
        <v>-8000</v>
      </c>
      <c r="Q55" s="325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 t="shared" ref="V55:V56" si="138">P55+Q55+R55+S55+T55+U55</f>
        <v>-8000</v>
      </c>
      <c r="W55" s="325">
        <v>8000</v>
      </c>
      <c r="X55" s="325">
        <v>0</v>
      </c>
      <c r="Y55" s="325">
        <v>0</v>
      </c>
      <c r="Z55" s="492">
        <f t="shared" ref="Z55:Z56" si="139">W55+X55+Y55</f>
        <v>8000</v>
      </c>
      <c r="AA55" s="492">
        <f t="shared" ref="AA55:AA56" si="140">V55+Z55</f>
        <v>0</v>
      </c>
      <c r="AB55" s="494">
        <f t="shared" ref="AB55:AB56" si="141">ROUND((V55+Z55)*33.8%,0)</f>
        <v>0</v>
      </c>
      <c r="AC55" s="494">
        <f t="shared" ref="AC55:AC56" si="142">ROUND(V55*1%,0)</f>
        <v>-80</v>
      </c>
      <c r="AD55" s="492">
        <v>0</v>
      </c>
      <c r="AE55" s="753">
        <f t="shared" ref="AE55:AE56" si="143">AA55+AB55+AC55+AD55</f>
        <v>-80</v>
      </c>
      <c r="AF55" s="688">
        <v>0</v>
      </c>
      <c r="AG55" s="326">
        <v>0</v>
      </c>
      <c r="AH55" s="326">
        <v>0</v>
      </c>
      <c r="AI55" s="326">
        <v>0</v>
      </c>
      <c r="AJ55" s="326">
        <v>0</v>
      </c>
      <c r="AK55" s="326">
        <v>0</v>
      </c>
      <c r="AL55" s="609">
        <f t="shared" ref="AL55:AL56" si="144">SUM(AF55:AK55)</f>
        <v>0</v>
      </c>
      <c r="AM55" s="493">
        <f>I55+AE55</f>
        <v>7037518</v>
      </c>
      <c r="AN55" s="492">
        <f>J55+V55</f>
        <v>5200859</v>
      </c>
      <c r="AO55" s="573">
        <f t="shared" ref="AO55:AO56" si="145">K55+Z55</f>
        <v>20000</v>
      </c>
      <c r="AP55" s="492">
        <f>L55+AB55</f>
        <v>1764650</v>
      </c>
      <c r="AQ55" s="492">
        <f>M55+AC55</f>
        <v>52009</v>
      </c>
      <c r="AR55" s="573">
        <f t="shared" ref="AR55:AR56" si="146">N55+AD55</f>
        <v>0</v>
      </c>
      <c r="AS55" s="491">
        <f t="shared" ref="AS55:AS56" si="147">O55+AL55</f>
        <v>8.4499999999999993</v>
      </c>
    </row>
    <row r="56" spans="1:45" s="152" customFormat="1" x14ac:dyDescent="0.2">
      <c r="A56" s="154">
        <v>16</v>
      </c>
      <c r="B56" s="155">
        <v>3463</v>
      </c>
      <c r="C56" s="155">
        <v>691001308</v>
      </c>
      <c r="D56" s="155">
        <v>72048166</v>
      </c>
      <c r="E56" s="156" t="s">
        <v>37</v>
      </c>
      <c r="F56" s="155">
        <v>3111</v>
      </c>
      <c r="G56" s="156" t="s">
        <v>278</v>
      </c>
      <c r="H56" s="157" t="s">
        <v>263</v>
      </c>
      <c r="I56" s="580">
        <v>1747686</v>
      </c>
      <c r="J56" s="323">
        <v>1296503</v>
      </c>
      <c r="K56" s="410">
        <v>0</v>
      </c>
      <c r="L56" s="431">
        <v>438218</v>
      </c>
      <c r="M56" s="431">
        <v>12965</v>
      </c>
      <c r="N56" s="431">
        <v>0</v>
      </c>
      <c r="O56" s="748">
        <v>3.2</v>
      </c>
      <c r="P56" s="440">
        <f>W56*-1</f>
        <v>0</v>
      </c>
      <c r="Q56" s="325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 t="shared" si="138"/>
        <v>0</v>
      </c>
      <c r="W56" s="325">
        <v>0</v>
      </c>
      <c r="X56" s="325">
        <v>0</v>
      </c>
      <c r="Y56" s="325">
        <v>0</v>
      </c>
      <c r="Z56" s="492">
        <f t="shared" si="139"/>
        <v>0</v>
      </c>
      <c r="AA56" s="492">
        <f t="shared" si="140"/>
        <v>0</v>
      </c>
      <c r="AB56" s="494">
        <f t="shared" si="141"/>
        <v>0</v>
      </c>
      <c r="AC56" s="494">
        <f t="shared" si="142"/>
        <v>0</v>
      </c>
      <c r="AD56" s="492">
        <v>0</v>
      </c>
      <c r="AE56" s="753">
        <f t="shared" si="143"/>
        <v>0</v>
      </c>
      <c r="AF56" s="688">
        <v>0</v>
      </c>
      <c r="AG56" s="326">
        <v>0</v>
      </c>
      <c r="AH56" s="326">
        <v>0</v>
      </c>
      <c r="AI56" s="326">
        <v>0</v>
      </c>
      <c r="AJ56" s="326">
        <v>0</v>
      </c>
      <c r="AK56" s="326">
        <v>0</v>
      </c>
      <c r="AL56" s="609">
        <f t="shared" si="144"/>
        <v>0</v>
      </c>
      <c r="AM56" s="493">
        <f>I56+AE56</f>
        <v>1747686</v>
      </c>
      <c r="AN56" s="492">
        <f>J56+V56</f>
        <v>1296503</v>
      </c>
      <c r="AO56" s="573">
        <f t="shared" si="145"/>
        <v>0</v>
      </c>
      <c r="AP56" s="492">
        <f>L56+AB56</f>
        <v>438218</v>
      </c>
      <c r="AQ56" s="492">
        <f>M56+AC56</f>
        <v>12965</v>
      </c>
      <c r="AR56" s="573">
        <f t="shared" si="146"/>
        <v>0</v>
      </c>
      <c r="AS56" s="491">
        <f t="shared" si="147"/>
        <v>3.2</v>
      </c>
    </row>
    <row r="57" spans="1:45" s="152" customFormat="1" ht="12.75" customHeight="1" x14ac:dyDescent="0.2">
      <c r="A57" s="105">
        <v>16</v>
      </c>
      <c r="B57" s="12">
        <v>3463</v>
      </c>
      <c r="C57" s="104">
        <v>691001308</v>
      </c>
      <c r="D57" s="104">
        <v>72048166</v>
      </c>
      <c r="E57" s="153" t="s">
        <v>38</v>
      </c>
      <c r="F57" s="12"/>
      <c r="G57" s="153"/>
      <c r="H57" s="407"/>
      <c r="I57" s="746">
        <v>8785284</v>
      </c>
      <c r="J57" s="378">
        <v>6505362</v>
      </c>
      <c r="K57" s="378">
        <v>12000</v>
      </c>
      <c r="L57" s="378">
        <v>2202868</v>
      </c>
      <c r="M57" s="378">
        <v>65054</v>
      </c>
      <c r="N57" s="378">
        <v>0</v>
      </c>
      <c r="O57" s="340">
        <v>11.649999999999999</v>
      </c>
      <c r="P57" s="444">
        <f t="shared" ref="P57:AS57" si="148">SUM(P55:P56)</f>
        <v>-8000</v>
      </c>
      <c r="Q57" s="378">
        <f t="shared" si="148"/>
        <v>0</v>
      </c>
      <c r="R57" s="378">
        <f t="shared" si="148"/>
        <v>0</v>
      </c>
      <c r="S57" s="378">
        <f t="shared" si="148"/>
        <v>0</v>
      </c>
      <c r="T57" s="378">
        <f t="shared" si="148"/>
        <v>0</v>
      </c>
      <c r="U57" s="378">
        <f t="shared" si="148"/>
        <v>0</v>
      </c>
      <c r="V57" s="378">
        <f t="shared" si="148"/>
        <v>-8000</v>
      </c>
      <c r="W57" s="378">
        <f t="shared" si="148"/>
        <v>8000</v>
      </c>
      <c r="X57" s="378">
        <f t="shared" si="148"/>
        <v>0</v>
      </c>
      <c r="Y57" s="378">
        <f t="shared" si="148"/>
        <v>0</v>
      </c>
      <c r="Z57" s="378">
        <f t="shared" si="148"/>
        <v>8000</v>
      </c>
      <c r="AA57" s="378">
        <f t="shared" si="148"/>
        <v>0</v>
      </c>
      <c r="AB57" s="378">
        <f t="shared" si="148"/>
        <v>0</v>
      </c>
      <c r="AC57" s="378">
        <f t="shared" si="148"/>
        <v>-80</v>
      </c>
      <c r="AD57" s="378">
        <f t="shared" si="148"/>
        <v>0</v>
      </c>
      <c r="AE57" s="752">
        <f t="shared" si="148"/>
        <v>-80</v>
      </c>
      <c r="AF57" s="754">
        <f t="shared" si="148"/>
        <v>0</v>
      </c>
      <c r="AG57" s="398">
        <f t="shared" si="148"/>
        <v>0</v>
      </c>
      <c r="AH57" s="398">
        <f t="shared" si="148"/>
        <v>0</v>
      </c>
      <c r="AI57" s="398">
        <f t="shared" si="148"/>
        <v>0</v>
      </c>
      <c r="AJ57" s="398">
        <f t="shared" si="148"/>
        <v>0</v>
      </c>
      <c r="AK57" s="398">
        <f t="shared" si="148"/>
        <v>0</v>
      </c>
      <c r="AL57" s="340">
        <f t="shared" si="148"/>
        <v>0</v>
      </c>
      <c r="AM57" s="444">
        <f t="shared" si="148"/>
        <v>8785204</v>
      </c>
      <c r="AN57" s="378">
        <f t="shared" si="148"/>
        <v>6497362</v>
      </c>
      <c r="AO57" s="378">
        <f t="shared" si="148"/>
        <v>20000</v>
      </c>
      <c r="AP57" s="378">
        <f t="shared" si="148"/>
        <v>2202868</v>
      </c>
      <c r="AQ57" s="378">
        <f t="shared" si="148"/>
        <v>64974</v>
      </c>
      <c r="AR57" s="378">
        <f t="shared" si="148"/>
        <v>0</v>
      </c>
      <c r="AS57" s="398">
        <f t="shared" si="148"/>
        <v>11.649999999999999</v>
      </c>
    </row>
    <row r="58" spans="1:45" s="152" customFormat="1" ht="12.75" customHeight="1" x14ac:dyDescent="0.2">
      <c r="A58" s="154">
        <v>17</v>
      </c>
      <c r="B58" s="155">
        <v>3460</v>
      </c>
      <c r="C58" s="155">
        <v>691000387</v>
      </c>
      <c r="D58" s="155">
        <v>86797034</v>
      </c>
      <c r="E58" s="156" t="s">
        <v>39</v>
      </c>
      <c r="F58" s="155">
        <v>3111</v>
      </c>
      <c r="G58" s="156" t="s">
        <v>277</v>
      </c>
      <c r="H58" s="157" t="s">
        <v>262</v>
      </c>
      <c r="I58" s="610">
        <v>6425797</v>
      </c>
      <c r="J58" s="410">
        <v>4766912</v>
      </c>
      <c r="K58" s="410">
        <v>0</v>
      </c>
      <c r="L58" s="431">
        <v>1611216</v>
      </c>
      <c r="M58" s="431">
        <v>47669</v>
      </c>
      <c r="N58" s="431">
        <v>0</v>
      </c>
      <c r="O58" s="747">
        <v>8.1</v>
      </c>
      <c r="P58" s="445">
        <f>W58*-1</f>
        <v>0</v>
      </c>
      <c r="Q58" s="325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 t="shared" ref="V58:V59" si="149">P58+Q58+R58+S58+T58+U58</f>
        <v>0</v>
      </c>
      <c r="W58" s="325">
        <v>0</v>
      </c>
      <c r="X58" s="325">
        <v>0</v>
      </c>
      <c r="Y58" s="325">
        <v>0</v>
      </c>
      <c r="Z58" s="492">
        <f t="shared" ref="Z58:Z59" si="150">W58+X58+Y58</f>
        <v>0</v>
      </c>
      <c r="AA58" s="492">
        <f t="shared" ref="AA58:AA59" si="151">V58+Z58</f>
        <v>0</v>
      </c>
      <c r="AB58" s="494">
        <f t="shared" ref="AB58:AB59" si="152">ROUND((V58+Z58)*33.8%,0)</f>
        <v>0</v>
      </c>
      <c r="AC58" s="494">
        <f t="shared" ref="AC58:AC59" si="153">ROUND(V58*1%,0)</f>
        <v>0</v>
      </c>
      <c r="AD58" s="492">
        <v>0</v>
      </c>
      <c r="AE58" s="753">
        <f t="shared" ref="AE58:AE59" si="154">AA58+AB58+AC58+AD58</f>
        <v>0</v>
      </c>
      <c r="AF58" s="688">
        <v>0</v>
      </c>
      <c r="AG58" s="326">
        <v>0</v>
      </c>
      <c r="AH58" s="326">
        <v>0</v>
      </c>
      <c r="AI58" s="326">
        <v>0</v>
      </c>
      <c r="AJ58" s="326">
        <v>0</v>
      </c>
      <c r="AK58" s="326">
        <v>0</v>
      </c>
      <c r="AL58" s="609">
        <f t="shared" ref="AL58:AL59" si="155">SUM(AF58:AK58)</f>
        <v>0</v>
      </c>
      <c r="AM58" s="493">
        <f>I58+AE58</f>
        <v>6425797</v>
      </c>
      <c r="AN58" s="492">
        <f>J58+V58</f>
        <v>4766912</v>
      </c>
      <c r="AO58" s="573">
        <f t="shared" ref="AO58:AO59" si="156">K58+Z58</f>
        <v>0</v>
      </c>
      <c r="AP58" s="492">
        <f>L58+AB58</f>
        <v>1611216</v>
      </c>
      <c r="AQ58" s="492">
        <f>M58+AC58</f>
        <v>47669</v>
      </c>
      <c r="AR58" s="573">
        <f t="shared" ref="AR58:AR59" si="157">N58+AD58</f>
        <v>0</v>
      </c>
      <c r="AS58" s="491">
        <f t="shared" ref="AS58:AS59" si="158">O58+AL58</f>
        <v>8.1</v>
      </c>
    </row>
    <row r="59" spans="1:45" s="152" customFormat="1" ht="12.75" customHeight="1" x14ac:dyDescent="0.2">
      <c r="A59" s="154">
        <v>17</v>
      </c>
      <c r="B59" s="155">
        <v>3460</v>
      </c>
      <c r="C59" s="155">
        <v>691000387</v>
      </c>
      <c r="D59" s="155">
        <v>86797034</v>
      </c>
      <c r="E59" s="156" t="s">
        <v>39</v>
      </c>
      <c r="F59" s="155">
        <v>3111</v>
      </c>
      <c r="G59" s="156" t="s">
        <v>278</v>
      </c>
      <c r="H59" s="157" t="s">
        <v>263</v>
      </c>
      <c r="I59" s="580">
        <v>267475</v>
      </c>
      <c r="J59" s="323">
        <v>198424</v>
      </c>
      <c r="K59" s="410">
        <v>0</v>
      </c>
      <c r="L59" s="431">
        <v>67067</v>
      </c>
      <c r="M59" s="431">
        <v>1984</v>
      </c>
      <c r="N59" s="431">
        <v>0</v>
      </c>
      <c r="O59" s="748">
        <v>0.5</v>
      </c>
      <c r="P59" s="440">
        <f>W59*-1</f>
        <v>0</v>
      </c>
      <c r="Q59" s="325">
        <v>0</v>
      </c>
      <c r="R59" s="325">
        <v>0</v>
      </c>
      <c r="S59" s="325">
        <v>0</v>
      </c>
      <c r="T59" s="325">
        <v>0</v>
      </c>
      <c r="U59" s="325">
        <v>0</v>
      </c>
      <c r="V59" s="492">
        <f t="shared" si="149"/>
        <v>0</v>
      </c>
      <c r="W59" s="325">
        <v>0</v>
      </c>
      <c r="X59" s="325">
        <v>0</v>
      </c>
      <c r="Y59" s="325">
        <v>0</v>
      </c>
      <c r="Z59" s="492">
        <f t="shared" si="150"/>
        <v>0</v>
      </c>
      <c r="AA59" s="492">
        <f t="shared" si="151"/>
        <v>0</v>
      </c>
      <c r="AB59" s="494">
        <f t="shared" si="152"/>
        <v>0</v>
      </c>
      <c r="AC59" s="494">
        <f t="shared" si="153"/>
        <v>0</v>
      </c>
      <c r="AD59" s="492">
        <v>0</v>
      </c>
      <c r="AE59" s="753">
        <f t="shared" si="154"/>
        <v>0</v>
      </c>
      <c r="AF59" s="688">
        <v>0</v>
      </c>
      <c r="AG59" s="326">
        <v>0</v>
      </c>
      <c r="AH59" s="326">
        <v>0</v>
      </c>
      <c r="AI59" s="326">
        <v>0</v>
      </c>
      <c r="AJ59" s="326">
        <v>0</v>
      </c>
      <c r="AK59" s="326">
        <v>0</v>
      </c>
      <c r="AL59" s="609">
        <f t="shared" si="155"/>
        <v>0</v>
      </c>
      <c r="AM59" s="493">
        <f>I59+AE59</f>
        <v>267475</v>
      </c>
      <c r="AN59" s="492">
        <f>J59+V59</f>
        <v>198424</v>
      </c>
      <c r="AO59" s="573">
        <f t="shared" si="156"/>
        <v>0</v>
      </c>
      <c r="AP59" s="492">
        <f>L59+AB59</f>
        <v>67067</v>
      </c>
      <c r="AQ59" s="492">
        <f>M59+AC59</f>
        <v>1984</v>
      </c>
      <c r="AR59" s="573">
        <f t="shared" si="157"/>
        <v>0</v>
      </c>
      <c r="AS59" s="491">
        <f t="shared" si="158"/>
        <v>0.5</v>
      </c>
    </row>
    <row r="60" spans="1:45" s="152" customFormat="1" ht="12.75" customHeight="1" x14ac:dyDescent="0.2">
      <c r="A60" s="105">
        <v>17</v>
      </c>
      <c r="B60" s="12">
        <v>3460</v>
      </c>
      <c r="C60" s="104">
        <v>691000387</v>
      </c>
      <c r="D60" s="104">
        <v>86797034</v>
      </c>
      <c r="E60" s="153" t="s">
        <v>40</v>
      </c>
      <c r="F60" s="12"/>
      <c r="G60" s="153"/>
      <c r="H60" s="407"/>
      <c r="I60" s="746">
        <v>6693272</v>
      </c>
      <c r="J60" s="378">
        <v>4965336</v>
      </c>
      <c r="K60" s="378">
        <v>0</v>
      </c>
      <c r="L60" s="378">
        <v>1678283</v>
      </c>
      <c r="M60" s="378">
        <v>49653</v>
      </c>
      <c r="N60" s="378">
        <v>0</v>
      </c>
      <c r="O60" s="340">
        <v>8.6</v>
      </c>
      <c r="P60" s="444">
        <f t="shared" ref="P60:AS60" si="159">SUM(P58:P59)</f>
        <v>0</v>
      </c>
      <c r="Q60" s="378">
        <f t="shared" si="159"/>
        <v>0</v>
      </c>
      <c r="R60" s="378">
        <f t="shared" si="159"/>
        <v>0</v>
      </c>
      <c r="S60" s="378">
        <f t="shared" si="159"/>
        <v>0</v>
      </c>
      <c r="T60" s="378">
        <f t="shared" si="159"/>
        <v>0</v>
      </c>
      <c r="U60" s="378">
        <f t="shared" si="159"/>
        <v>0</v>
      </c>
      <c r="V60" s="378">
        <f t="shared" si="159"/>
        <v>0</v>
      </c>
      <c r="W60" s="378">
        <f t="shared" si="159"/>
        <v>0</v>
      </c>
      <c r="X60" s="378">
        <f t="shared" si="159"/>
        <v>0</v>
      </c>
      <c r="Y60" s="378">
        <f t="shared" si="159"/>
        <v>0</v>
      </c>
      <c r="Z60" s="378">
        <f t="shared" si="159"/>
        <v>0</v>
      </c>
      <c r="AA60" s="378">
        <f t="shared" si="159"/>
        <v>0</v>
      </c>
      <c r="AB60" s="378">
        <f t="shared" si="159"/>
        <v>0</v>
      </c>
      <c r="AC60" s="378">
        <f t="shared" si="159"/>
        <v>0</v>
      </c>
      <c r="AD60" s="378">
        <f t="shared" si="159"/>
        <v>0</v>
      </c>
      <c r="AE60" s="752">
        <f t="shared" si="159"/>
        <v>0</v>
      </c>
      <c r="AF60" s="754">
        <f t="shared" si="159"/>
        <v>0</v>
      </c>
      <c r="AG60" s="398">
        <f t="shared" si="159"/>
        <v>0</v>
      </c>
      <c r="AH60" s="398">
        <f t="shared" si="159"/>
        <v>0</v>
      </c>
      <c r="AI60" s="398">
        <f t="shared" si="159"/>
        <v>0</v>
      </c>
      <c r="AJ60" s="398">
        <f t="shared" si="159"/>
        <v>0</v>
      </c>
      <c r="AK60" s="398">
        <f t="shared" si="159"/>
        <v>0</v>
      </c>
      <c r="AL60" s="340">
        <f t="shared" si="159"/>
        <v>0</v>
      </c>
      <c r="AM60" s="444">
        <f t="shared" si="159"/>
        <v>6693272</v>
      </c>
      <c r="AN60" s="378">
        <f t="shared" si="159"/>
        <v>4965336</v>
      </c>
      <c r="AO60" s="378">
        <f t="shared" si="159"/>
        <v>0</v>
      </c>
      <c r="AP60" s="378">
        <f t="shared" si="159"/>
        <v>1678283</v>
      </c>
      <c r="AQ60" s="378">
        <f t="shared" si="159"/>
        <v>49653</v>
      </c>
      <c r="AR60" s="378">
        <f t="shared" si="159"/>
        <v>0</v>
      </c>
      <c r="AS60" s="398">
        <f t="shared" si="159"/>
        <v>8.6</v>
      </c>
    </row>
    <row r="61" spans="1:45" s="152" customFormat="1" ht="12.75" customHeight="1" x14ac:dyDescent="0.2">
      <c r="A61" s="154">
        <v>18</v>
      </c>
      <c r="B61" s="155">
        <v>3413</v>
      </c>
      <c r="C61" s="155">
        <v>600077918</v>
      </c>
      <c r="D61" s="155">
        <v>72743433</v>
      </c>
      <c r="E61" s="156" t="s">
        <v>264</v>
      </c>
      <c r="F61" s="155">
        <v>3111</v>
      </c>
      <c r="G61" s="156" t="s">
        <v>277</v>
      </c>
      <c r="H61" s="157" t="s">
        <v>262</v>
      </c>
      <c r="I61" s="610">
        <v>10618875</v>
      </c>
      <c r="J61" s="410">
        <v>7877504</v>
      </c>
      <c r="K61" s="410">
        <v>0</v>
      </c>
      <c r="L61" s="431">
        <v>2662596</v>
      </c>
      <c r="M61" s="431">
        <v>78775</v>
      </c>
      <c r="N61" s="431">
        <v>0</v>
      </c>
      <c r="O61" s="747">
        <v>12.71</v>
      </c>
      <c r="P61" s="445">
        <f>W61*-1</f>
        <v>0</v>
      </c>
      <c r="Q61" s="325">
        <v>0</v>
      </c>
      <c r="R61" s="325">
        <v>0</v>
      </c>
      <c r="S61" s="325">
        <v>0</v>
      </c>
      <c r="T61" s="325">
        <v>0</v>
      </c>
      <c r="U61" s="325">
        <v>0</v>
      </c>
      <c r="V61" s="492">
        <f t="shared" ref="V61:V63" si="160">P61+Q61+R61+S61+T61+U61</f>
        <v>0</v>
      </c>
      <c r="W61" s="325">
        <v>0</v>
      </c>
      <c r="X61" s="325">
        <v>0</v>
      </c>
      <c r="Y61" s="325">
        <v>0</v>
      </c>
      <c r="Z61" s="492">
        <f t="shared" ref="Z61:Z63" si="161">W61+X61+Y61</f>
        <v>0</v>
      </c>
      <c r="AA61" s="492">
        <f t="shared" ref="AA61:AA63" si="162">V61+Z61</f>
        <v>0</v>
      </c>
      <c r="AB61" s="494">
        <f t="shared" ref="AB61:AB63" si="163">ROUND((V61+Z61)*33.8%,0)</f>
        <v>0</v>
      </c>
      <c r="AC61" s="494">
        <f t="shared" ref="AC61:AC63" si="164">ROUND(V61*1%,0)</f>
        <v>0</v>
      </c>
      <c r="AD61" s="492">
        <v>0</v>
      </c>
      <c r="AE61" s="753">
        <f t="shared" ref="AE61:AE63" si="165">AA61+AB61+AC61+AD61</f>
        <v>0</v>
      </c>
      <c r="AF61" s="688">
        <v>0</v>
      </c>
      <c r="AG61" s="326">
        <v>0</v>
      </c>
      <c r="AH61" s="326">
        <v>0</v>
      </c>
      <c r="AI61" s="326">
        <v>0</v>
      </c>
      <c r="AJ61" s="326">
        <v>0</v>
      </c>
      <c r="AK61" s="326">
        <v>0</v>
      </c>
      <c r="AL61" s="609">
        <f t="shared" ref="AL61:AL63" si="166">SUM(AF61:AK61)</f>
        <v>0</v>
      </c>
      <c r="AM61" s="493">
        <f>I61+AE61</f>
        <v>10618875</v>
      </c>
      <c r="AN61" s="492">
        <f>J61+V61</f>
        <v>7877504</v>
      </c>
      <c r="AO61" s="573">
        <f t="shared" ref="AO61:AO63" si="167">K61+Z61</f>
        <v>0</v>
      </c>
      <c r="AP61" s="492">
        <f t="shared" ref="AP61:AR63" si="168">L61+AB61</f>
        <v>2662596</v>
      </c>
      <c r="AQ61" s="492">
        <f t="shared" si="168"/>
        <v>78775</v>
      </c>
      <c r="AR61" s="573">
        <f t="shared" si="168"/>
        <v>0</v>
      </c>
      <c r="AS61" s="491">
        <f t="shared" ref="AS61:AS63" si="169">O61+AL61</f>
        <v>12.71</v>
      </c>
    </row>
    <row r="62" spans="1:45" s="152" customFormat="1" ht="12.75" customHeight="1" x14ac:dyDescent="0.2">
      <c r="A62" s="154">
        <v>18</v>
      </c>
      <c r="B62" s="155">
        <v>3413</v>
      </c>
      <c r="C62" s="155">
        <v>600077918</v>
      </c>
      <c r="D62" s="155">
        <v>72743433</v>
      </c>
      <c r="E62" s="156" t="s">
        <v>264</v>
      </c>
      <c r="F62" s="155">
        <v>3111</v>
      </c>
      <c r="G62" s="156" t="s">
        <v>279</v>
      </c>
      <c r="H62" s="157" t="s">
        <v>262</v>
      </c>
      <c r="I62" s="580">
        <v>2142447</v>
      </c>
      <c r="J62" s="323">
        <v>1589352</v>
      </c>
      <c r="K62" s="410">
        <v>0</v>
      </c>
      <c r="L62" s="431">
        <v>537201</v>
      </c>
      <c r="M62" s="431">
        <v>15894</v>
      </c>
      <c r="N62" s="431">
        <v>0</v>
      </c>
      <c r="O62" s="748">
        <v>4</v>
      </c>
      <c r="P62" s="440">
        <f>W62*-1</f>
        <v>0</v>
      </c>
      <c r="Q62" s="325">
        <v>0</v>
      </c>
      <c r="R62" s="325">
        <v>0</v>
      </c>
      <c r="S62" s="325">
        <v>0</v>
      </c>
      <c r="T62" s="325">
        <v>0</v>
      </c>
      <c r="U62" s="325">
        <v>0</v>
      </c>
      <c r="V62" s="492">
        <f t="shared" si="160"/>
        <v>0</v>
      </c>
      <c r="W62" s="325">
        <v>0</v>
      </c>
      <c r="X62" s="325">
        <v>0</v>
      </c>
      <c r="Y62" s="325">
        <v>0</v>
      </c>
      <c r="Z62" s="492">
        <f t="shared" si="161"/>
        <v>0</v>
      </c>
      <c r="AA62" s="492">
        <f t="shared" si="162"/>
        <v>0</v>
      </c>
      <c r="AB62" s="494">
        <f t="shared" si="163"/>
        <v>0</v>
      </c>
      <c r="AC62" s="494">
        <f t="shared" si="164"/>
        <v>0</v>
      </c>
      <c r="AD62" s="492">
        <v>0</v>
      </c>
      <c r="AE62" s="753">
        <f t="shared" si="165"/>
        <v>0</v>
      </c>
      <c r="AF62" s="688">
        <v>0</v>
      </c>
      <c r="AG62" s="326">
        <v>0</v>
      </c>
      <c r="AH62" s="326">
        <v>0</v>
      </c>
      <c r="AI62" s="326">
        <v>0</v>
      </c>
      <c r="AJ62" s="326">
        <v>0</v>
      </c>
      <c r="AK62" s="326">
        <v>0</v>
      </c>
      <c r="AL62" s="609">
        <f t="shared" si="166"/>
        <v>0</v>
      </c>
      <c r="AM62" s="493">
        <f>I62+AE62</f>
        <v>2142447</v>
      </c>
      <c r="AN62" s="492">
        <f>J62+V62</f>
        <v>1589352</v>
      </c>
      <c r="AO62" s="573">
        <f t="shared" si="167"/>
        <v>0</v>
      </c>
      <c r="AP62" s="492">
        <f t="shared" si="168"/>
        <v>537201</v>
      </c>
      <c r="AQ62" s="492">
        <f t="shared" si="168"/>
        <v>15894</v>
      </c>
      <c r="AR62" s="573">
        <f t="shared" si="168"/>
        <v>0</v>
      </c>
      <c r="AS62" s="491">
        <f t="shared" si="169"/>
        <v>4</v>
      </c>
    </row>
    <row r="63" spans="1:45" s="152" customFormat="1" x14ac:dyDescent="0.2">
      <c r="A63" s="154">
        <v>18</v>
      </c>
      <c r="B63" s="155">
        <v>3413</v>
      </c>
      <c r="C63" s="155">
        <v>600077918</v>
      </c>
      <c r="D63" s="155">
        <v>72743433</v>
      </c>
      <c r="E63" s="156" t="s">
        <v>264</v>
      </c>
      <c r="F63" s="155">
        <v>3111</v>
      </c>
      <c r="G63" s="156" t="s">
        <v>278</v>
      </c>
      <c r="H63" s="157" t="s">
        <v>263</v>
      </c>
      <c r="I63" s="580">
        <v>534949</v>
      </c>
      <c r="J63" s="323">
        <v>396847</v>
      </c>
      <c r="K63" s="410">
        <v>0</v>
      </c>
      <c r="L63" s="431">
        <v>134134</v>
      </c>
      <c r="M63" s="431">
        <v>3968</v>
      </c>
      <c r="N63" s="431">
        <v>0</v>
      </c>
      <c r="O63" s="748">
        <v>1</v>
      </c>
      <c r="P63" s="440">
        <f>W63*-1</f>
        <v>0</v>
      </c>
      <c r="Q63" s="325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 t="shared" si="160"/>
        <v>0</v>
      </c>
      <c r="W63" s="325">
        <v>0</v>
      </c>
      <c r="X63" s="325">
        <v>0</v>
      </c>
      <c r="Y63" s="325">
        <v>0</v>
      </c>
      <c r="Z63" s="492">
        <f t="shared" si="161"/>
        <v>0</v>
      </c>
      <c r="AA63" s="492">
        <f t="shared" si="162"/>
        <v>0</v>
      </c>
      <c r="AB63" s="494">
        <f t="shared" si="163"/>
        <v>0</v>
      </c>
      <c r="AC63" s="494">
        <f t="shared" si="164"/>
        <v>0</v>
      </c>
      <c r="AD63" s="492">
        <v>0</v>
      </c>
      <c r="AE63" s="753">
        <f t="shared" si="165"/>
        <v>0</v>
      </c>
      <c r="AF63" s="688">
        <v>0</v>
      </c>
      <c r="AG63" s="326">
        <v>0</v>
      </c>
      <c r="AH63" s="326">
        <v>0</v>
      </c>
      <c r="AI63" s="326">
        <v>0</v>
      </c>
      <c r="AJ63" s="326">
        <v>0</v>
      </c>
      <c r="AK63" s="326">
        <v>0</v>
      </c>
      <c r="AL63" s="609">
        <f t="shared" si="166"/>
        <v>0</v>
      </c>
      <c r="AM63" s="493">
        <f>I63+AE63</f>
        <v>534949</v>
      </c>
      <c r="AN63" s="492">
        <f>J63+V63</f>
        <v>396847</v>
      </c>
      <c r="AO63" s="573">
        <f t="shared" si="167"/>
        <v>0</v>
      </c>
      <c r="AP63" s="492">
        <f t="shared" si="168"/>
        <v>134134</v>
      </c>
      <c r="AQ63" s="492">
        <f t="shared" si="168"/>
        <v>3968</v>
      </c>
      <c r="AR63" s="573">
        <f t="shared" si="168"/>
        <v>0</v>
      </c>
      <c r="AS63" s="491">
        <f t="shared" si="169"/>
        <v>1</v>
      </c>
    </row>
    <row r="64" spans="1:45" s="152" customFormat="1" ht="12.75" customHeight="1" x14ac:dyDescent="0.2">
      <c r="A64" s="105">
        <v>18</v>
      </c>
      <c r="B64" s="12">
        <v>3413</v>
      </c>
      <c r="C64" s="104">
        <v>600077918</v>
      </c>
      <c r="D64" s="104">
        <v>72743433</v>
      </c>
      <c r="E64" s="153" t="s">
        <v>41</v>
      </c>
      <c r="F64" s="12"/>
      <c r="G64" s="153"/>
      <c r="H64" s="407"/>
      <c r="I64" s="746">
        <v>13296271</v>
      </c>
      <c r="J64" s="378">
        <v>9863703</v>
      </c>
      <c r="K64" s="378">
        <v>0</v>
      </c>
      <c r="L64" s="378">
        <v>3333931</v>
      </c>
      <c r="M64" s="378">
        <v>98637</v>
      </c>
      <c r="N64" s="378">
        <v>0</v>
      </c>
      <c r="O64" s="340">
        <v>17.71</v>
      </c>
      <c r="P64" s="444">
        <f t="shared" ref="P64:AS64" si="170">SUM(P61:P63)</f>
        <v>0</v>
      </c>
      <c r="Q64" s="378">
        <f t="shared" si="170"/>
        <v>0</v>
      </c>
      <c r="R64" s="378">
        <f t="shared" si="170"/>
        <v>0</v>
      </c>
      <c r="S64" s="378">
        <f t="shared" si="170"/>
        <v>0</v>
      </c>
      <c r="T64" s="378">
        <f t="shared" si="170"/>
        <v>0</v>
      </c>
      <c r="U64" s="378">
        <f t="shared" si="170"/>
        <v>0</v>
      </c>
      <c r="V64" s="378">
        <f t="shared" si="170"/>
        <v>0</v>
      </c>
      <c r="W64" s="378">
        <f t="shared" si="170"/>
        <v>0</v>
      </c>
      <c r="X64" s="378">
        <f t="shared" si="170"/>
        <v>0</v>
      </c>
      <c r="Y64" s="378">
        <f t="shared" si="170"/>
        <v>0</v>
      </c>
      <c r="Z64" s="378">
        <f t="shared" si="170"/>
        <v>0</v>
      </c>
      <c r="AA64" s="378">
        <f t="shared" si="170"/>
        <v>0</v>
      </c>
      <c r="AB64" s="378">
        <f t="shared" si="170"/>
        <v>0</v>
      </c>
      <c r="AC64" s="378">
        <f t="shared" si="170"/>
        <v>0</v>
      </c>
      <c r="AD64" s="378">
        <f t="shared" si="170"/>
        <v>0</v>
      </c>
      <c r="AE64" s="752">
        <f t="shared" si="170"/>
        <v>0</v>
      </c>
      <c r="AF64" s="754">
        <f t="shared" si="170"/>
        <v>0</v>
      </c>
      <c r="AG64" s="398">
        <f t="shared" si="170"/>
        <v>0</v>
      </c>
      <c r="AH64" s="398">
        <f t="shared" si="170"/>
        <v>0</v>
      </c>
      <c r="AI64" s="398">
        <f t="shared" si="170"/>
        <v>0</v>
      </c>
      <c r="AJ64" s="398">
        <f t="shared" si="170"/>
        <v>0</v>
      </c>
      <c r="AK64" s="398">
        <f t="shared" si="170"/>
        <v>0</v>
      </c>
      <c r="AL64" s="340">
        <f t="shared" si="170"/>
        <v>0</v>
      </c>
      <c r="AM64" s="444">
        <f t="shared" si="170"/>
        <v>13296271</v>
      </c>
      <c r="AN64" s="378">
        <f t="shared" si="170"/>
        <v>9863703</v>
      </c>
      <c r="AO64" s="378">
        <f t="shared" si="170"/>
        <v>0</v>
      </c>
      <c r="AP64" s="378">
        <f t="shared" si="170"/>
        <v>3333931</v>
      </c>
      <c r="AQ64" s="378">
        <f t="shared" si="170"/>
        <v>98637</v>
      </c>
      <c r="AR64" s="378">
        <f t="shared" si="170"/>
        <v>0</v>
      </c>
      <c r="AS64" s="398">
        <f t="shared" si="170"/>
        <v>17.71</v>
      </c>
    </row>
    <row r="65" spans="1:45" s="152" customFormat="1" ht="12.75" customHeight="1" x14ac:dyDescent="0.2">
      <c r="A65" s="154">
        <v>19</v>
      </c>
      <c r="B65" s="155">
        <v>3478</v>
      </c>
      <c r="C65" s="155">
        <v>691019657</v>
      </c>
      <c r="D65" s="155">
        <v>22296816</v>
      </c>
      <c r="E65" s="156" t="s">
        <v>786</v>
      </c>
      <c r="F65" s="155">
        <v>3111</v>
      </c>
      <c r="G65" s="156" t="s">
        <v>277</v>
      </c>
      <c r="H65" s="157" t="s">
        <v>262</v>
      </c>
      <c r="I65" s="610">
        <v>1663712</v>
      </c>
      <c r="J65" s="410">
        <v>1234208</v>
      </c>
      <c r="K65" s="410">
        <v>0</v>
      </c>
      <c r="L65" s="431">
        <v>417162</v>
      </c>
      <c r="M65" s="431">
        <v>12342</v>
      </c>
      <c r="N65" s="431">
        <v>0</v>
      </c>
      <c r="O65" s="747">
        <v>2.21</v>
      </c>
      <c r="P65" s="445">
        <f>W65*-1</f>
        <v>0</v>
      </c>
      <c r="Q65" s="325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>P65+Q65+R65+S65+T65+U65</f>
        <v>0</v>
      </c>
      <c r="W65" s="325">
        <v>0</v>
      </c>
      <c r="X65" s="325">
        <v>0</v>
      </c>
      <c r="Y65" s="325">
        <v>0</v>
      </c>
      <c r="Z65" s="492">
        <f>W65+X65+Y65</f>
        <v>0</v>
      </c>
      <c r="AA65" s="492">
        <f>V65+Z65</f>
        <v>0</v>
      </c>
      <c r="AB65" s="494">
        <f>ROUND((V65+Z65)*33.8%,0)</f>
        <v>0</v>
      </c>
      <c r="AC65" s="494">
        <f>ROUND(V65*1%,0)</f>
        <v>0</v>
      </c>
      <c r="AD65" s="492">
        <v>0</v>
      </c>
      <c r="AE65" s="753">
        <f>AA65+AB65+AC65+AD65</f>
        <v>0</v>
      </c>
      <c r="AF65" s="688">
        <v>0</v>
      </c>
      <c r="AG65" s="326">
        <v>0</v>
      </c>
      <c r="AH65" s="326">
        <v>0</v>
      </c>
      <c r="AI65" s="326">
        <v>0</v>
      </c>
      <c r="AJ65" s="326">
        <v>0</v>
      </c>
      <c r="AK65" s="326">
        <v>0</v>
      </c>
      <c r="AL65" s="609">
        <f>SUM(AF65:AK65)</f>
        <v>0</v>
      </c>
      <c r="AM65" s="493">
        <f>I65+AE65</f>
        <v>1663712</v>
      </c>
      <c r="AN65" s="492">
        <f>J65+V65</f>
        <v>1234208</v>
      </c>
      <c r="AO65" s="573">
        <f>K65+Z65</f>
        <v>0</v>
      </c>
      <c r="AP65" s="492">
        <f>L65+AB65</f>
        <v>417162</v>
      </c>
      <c r="AQ65" s="492">
        <f>M65+AC65</f>
        <v>12342</v>
      </c>
      <c r="AR65" s="573">
        <f>N65+AD65</f>
        <v>0</v>
      </c>
      <c r="AS65" s="491">
        <f>O65+AL65</f>
        <v>2.21</v>
      </c>
    </row>
    <row r="66" spans="1:45" s="152" customFormat="1" ht="12.75" customHeight="1" x14ac:dyDescent="0.2">
      <c r="A66" s="108">
        <v>19</v>
      </c>
      <c r="B66" s="109">
        <v>3478</v>
      </c>
      <c r="C66" s="110">
        <v>691019657</v>
      </c>
      <c r="D66" s="110">
        <v>22296816</v>
      </c>
      <c r="E66" s="158" t="s">
        <v>787</v>
      </c>
      <c r="F66" s="109"/>
      <c r="G66" s="158"/>
      <c r="H66" s="408"/>
      <c r="I66" s="746">
        <v>1663712</v>
      </c>
      <c r="J66" s="378">
        <v>1234208</v>
      </c>
      <c r="K66" s="378">
        <v>0</v>
      </c>
      <c r="L66" s="378">
        <v>417162</v>
      </c>
      <c r="M66" s="378">
        <v>12342</v>
      </c>
      <c r="N66" s="378">
        <v>0</v>
      </c>
      <c r="O66" s="340">
        <v>2.21</v>
      </c>
      <c r="P66" s="444">
        <f t="shared" ref="P66:AS66" si="171">SUM(P65:P65)</f>
        <v>0</v>
      </c>
      <c r="Q66" s="378">
        <f t="shared" si="171"/>
        <v>0</v>
      </c>
      <c r="R66" s="378">
        <f t="shared" si="171"/>
        <v>0</v>
      </c>
      <c r="S66" s="378">
        <f t="shared" si="171"/>
        <v>0</v>
      </c>
      <c r="T66" s="378">
        <f t="shared" si="171"/>
        <v>0</v>
      </c>
      <c r="U66" s="378">
        <f t="shared" si="171"/>
        <v>0</v>
      </c>
      <c r="V66" s="378">
        <f t="shared" si="171"/>
        <v>0</v>
      </c>
      <c r="W66" s="378">
        <f t="shared" si="171"/>
        <v>0</v>
      </c>
      <c r="X66" s="378">
        <f t="shared" si="171"/>
        <v>0</v>
      </c>
      <c r="Y66" s="378">
        <f t="shared" si="171"/>
        <v>0</v>
      </c>
      <c r="Z66" s="378">
        <f t="shared" si="171"/>
        <v>0</v>
      </c>
      <c r="AA66" s="378">
        <f t="shared" si="171"/>
        <v>0</v>
      </c>
      <c r="AB66" s="378">
        <f t="shared" si="171"/>
        <v>0</v>
      </c>
      <c r="AC66" s="378">
        <f t="shared" si="171"/>
        <v>0</v>
      </c>
      <c r="AD66" s="378">
        <f t="shared" si="171"/>
        <v>0</v>
      </c>
      <c r="AE66" s="752">
        <f t="shared" si="171"/>
        <v>0</v>
      </c>
      <c r="AF66" s="754">
        <f t="shared" si="171"/>
        <v>0</v>
      </c>
      <c r="AG66" s="398">
        <f t="shared" si="171"/>
        <v>0</v>
      </c>
      <c r="AH66" s="398">
        <f t="shared" si="171"/>
        <v>0</v>
      </c>
      <c r="AI66" s="398">
        <f t="shared" si="171"/>
        <v>0</v>
      </c>
      <c r="AJ66" s="398">
        <f t="shared" si="171"/>
        <v>0</v>
      </c>
      <c r="AK66" s="398">
        <f t="shared" si="171"/>
        <v>0</v>
      </c>
      <c r="AL66" s="340">
        <f t="shared" si="171"/>
        <v>0</v>
      </c>
      <c r="AM66" s="446">
        <f t="shared" si="171"/>
        <v>1663712</v>
      </c>
      <c r="AN66" s="414">
        <f t="shared" si="171"/>
        <v>1234208</v>
      </c>
      <c r="AO66" s="414">
        <f t="shared" si="171"/>
        <v>0</v>
      </c>
      <c r="AP66" s="414">
        <f t="shared" si="171"/>
        <v>417162</v>
      </c>
      <c r="AQ66" s="414">
        <f t="shared" si="171"/>
        <v>12342</v>
      </c>
      <c r="AR66" s="414">
        <f t="shared" si="171"/>
        <v>0</v>
      </c>
      <c r="AS66" s="415">
        <f t="shared" si="171"/>
        <v>2.21</v>
      </c>
    </row>
    <row r="67" spans="1:45" s="152" customFormat="1" ht="12.75" customHeight="1" x14ac:dyDescent="0.2">
      <c r="A67" s="154">
        <v>20</v>
      </c>
      <c r="B67" s="155">
        <v>3409</v>
      </c>
      <c r="C67" s="155">
        <v>600078396</v>
      </c>
      <c r="D67" s="155">
        <v>43257399</v>
      </c>
      <c r="E67" s="156" t="s">
        <v>42</v>
      </c>
      <c r="F67" s="155">
        <v>3113</v>
      </c>
      <c r="G67" s="156" t="s">
        <v>280</v>
      </c>
      <c r="H67" s="157" t="s">
        <v>262</v>
      </c>
      <c r="I67" s="610">
        <v>25812450</v>
      </c>
      <c r="J67" s="410">
        <v>19148701</v>
      </c>
      <c r="K67" s="410">
        <v>0</v>
      </c>
      <c r="L67" s="431">
        <v>6472262</v>
      </c>
      <c r="M67" s="431">
        <v>191487</v>
      </c>
      <c r="N67" s="431">
        <v>0</v>
      </c>
      <c r="O67" s="747">
        <v>27.92</v>
      </c>
      <c r="P67" s="445">
        <f>W67*-1</f>
        <v>0</v>
      </c>
      <c r="Q67" s="325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 t="shared" ref="V67:V70" si="172">P67+Q67+R67+S67+T67+U67</f>
        <v>0</v>
      </c>
      <c r="W67" s="325">
        <v>0</v>
      </c>
      <c r="X67" s="325">
        <v>0</v>
      </c>
      <c r="Y67" s="325">
        <v>0</v>
      </c>
      <c r="Z67" s="492">
        <f t="shared" ref="Z67:Z70" si="173">W67+X67+Y67</f>
        <v>0</v>
      </c>
      <c r="AA67" s="492">
        <f t="shared" ref="AA67:AA70" si="174">V67+Z67</f>
        <v>0</v>
      </c>
      <c r="AB67" s="494">
        <f t="shared" ref="AB67:AB70" si="175">ROUND((V67+Z67)*33.8%,0)</f>
        <v>0</v>
      </c>
      <c r="AC67" s="494">
        <f t="shared" ref="AC67:AC70" si="176">ROUND(V67*1%,0)</f>
        <v>0</v>
      </c>
      <c r="AD67" s="492">
        <v>0</v>
      </c>
      <c r="AE67" s="753">
        <f t="shared" ref="AE67:AE70" si="177">AA67+AB67+AC67+AD67</f>
        <v>0</v>
      </c>
      <c r="AF67" s="688">
        <v>0</v>
      </c>
      <c r="AG67" s="326">
        <v>0</v>
      </c>
      <c r="AH67" s="326">
        <v>0</v>
      </c>
      <c r="AI67" s="326">
        <v>0</v>
      </c>
      <c r="AJ67" s="326">
        <v>0</v>
      </c>
      <c r="AK67" s="326">
        <v>0</v>
      </c>
      <c r="AL67" s="609">
        <f t="shared" ref="AL67:AL70" si="178">SUM(AF67:AK67)</f>
        <v>0</v>
      </c>
      <c r="AM67" s="493">
        <f>I67+AE67</f>
        <v>25812450</v>
      </c>
      <c r="AN67" s="492">
        <f>J67+V67</f>
        <v>19148701</v>
      </c>
      <c r="AO67" s="573">
        <f t="shared" ref="AO67:AO70" si="179">K67+Z67</f>
        <v>0</v>
      </c>
      <c r="AP67" s="492">
        <f t="shared" ref="AP67:AR70" si="180">L67+AB67</f>
        <v>6472262</v>
      </c>
      <c r="AQ67" s="492">
        <f t="shared" si="180"/>
        <v>191487</v>
      </c>
      <c r="AR67" s="573">
        <f t="shared" si="180"/>
        <v>0</v>
      </c>
      <c r="AS67" s="491">
        <f t="shared" ref="AS67:AS70" si="181">O67+AL67</f>
        <v>27.92</v>
      </c>
    </row>
    <row r="68" spans="1:45" s="152" customFormat="1" ht="12.75" customHeight="1" x14ac:dyDescent="0.2">
      <c r="A68" s="154">
        <v>20</v>
      </c>
      <c r="B68" s="155">
        <v>3409</v>
      </c>
      <c r="C68" s="155">
        <v>600078396</v>
      </c>
      <c r="D68" s="155">
        <v>43257399</v>
      </c>
      <c r="E68" s="156" t="s">
        <v>42</v>
      </c>
      <c r="F68" s="155">
        <v>3113</v>
      </c>
      <c r="G68" s="156" t="s">
        <v>799</v>
      </c>
      <c r="H68" s="157" t="s">
        <v>262</v>
      </c>
      <c r="I68" s="610">
        <v>586596</v>
      </c>
      <c r="J68" s="410">
        <v>435160</v>
      </c>
      <c r="K68" s="410">
        <v>0</v>
      </c>
      <c r="L68" s="431">
        <v>147084</v>
      </c>
      <c r="M68" s="431">
        <v>4352</v>
      </c>
      <c r="N68" s="431">
        <v>0</v>
      </c>
      <c r="O68" s="747">
        <v>0.79</v>
      </c>
      <c r="P68" s="445">
        <f>W68*-1</f>
        <v>0</v>
      </c>
      <c r="Q68" s="325">
        <v>0</v>
      </c>
      <c r="R68" s="325">
        <v>0</v>
      </c>
      <c r="S68" s="325">
        <v>0</v>
      </c>
      <c r="T68" s="325">
        <v>0</v>
      </c>
      <c r="U68" s="325">
        <v>0</v>
      </c>
      <c r="V68" s="492">
        <f t="shared" si="172"/>
        <v>0</v>
      </c>
      <c r="W68" s="325">
        <v>0</v>
      </c>
      <c r="X68" s="325">
        <v>0</v>
      </c>
      <c r="Y68" s="325">
        <v>0</v>
      </c>
      <c r="Z68" s="492">
        <f t="shared" si="173"/>
        <v>0</v>
      </c>
      <c r="AA68" s="492">
        <f t="shared" si="174"/>
        <v>0</v>
      </c>
      <c r="AB68" s="494">
        <f t="shared" si="175"/>
        <v>0</v>
      </c>
      <c r="AC68" s="494">
        <f t="shared" si="176"/>
        <v>0</v>
      </c>
      <c r="AD68" s="492">
        <v>0</v>
      </c>
      <c r="AE68" s="753">
        <f t="shared" si="177"/>
        <v>0</v>
      </c>
      <c r="AF68" s="688">
        <v>0</v>
      </c>
      <c r="AG68" s="326">
        <v>0</v>
      </c>
      <c r="AH68" s="326">
        <v>0</v>
      </c>
      <c r="AI68" s="326">
        <v>0</v>
      </c>
      <c r="AJ68" s="326">
        <v>0</v>
      </c>
      <c r="AK68" s="326">
        <v>0</v>
      </c>
      <c r="AL68" s="609">
        <f t="shared" si="178"/>
        <v>0</v>
      </c>
      <c r="AM68" s="493">
        <f>I68+AE68</f>
        <v>586596</v>
      </c>
      <c r="AN68" s="492">
        <f>J68+V68</f>
        <v>435160</v>
      </c>
      <c r="AO68" s="573">
        <f t="shared" si="179"/>
        <v>0</v>
      </c>
      <c r="AP68" s="492">
        <f t="shared" si="180"/>
        <v>147084</v>
      </c>
      <c r="AQ68" s="492">
        <f t="shared" si="180"/>
        <v>4352</v>
      </c>
      <c r="AR68" s="573">
        <f t="shared" si="180"/>
        <v>0</v>
      </c>
      <c r="AS68" s="491">
        <f t="shared" si="181"/>
        <v>0.79</v>
      </c>
    </row>
    <row r="69" spans="1:45" s="152" customFormat="1" x14ac:dyDescent="0.2">
      <c r="A69" s="154">
        <v>20</v>
      </c>
      <c r="B69" s="155">
        <v>3409</v>
      </c>
      <c r="C69" s="155">
        <v>600078396</v>
      </c>
      <c r="D69" s="155">
        <v>43257399</v>
      </c>
      <c r="E69" s="156" t="s">
        <v>42</v>
      </c>
      <c r="F69" s="155">
        <v>3113</v>
      </c>
      <c r="G69" s="156" t="s">
        <v>278</v>
      </c>
      <c r="H69" s="157" t="s">
        <v>263</v>
      </c>
      <c r="I69" s="580">
        <v>6774278</v>
      </c>
      <c r="J69" s="323">
        <v>5025429</v>
      </c>
      <c r="K69" s="410">
        <v>0</v>
      </c>
      <c r="L69" s="431">
        <v>1698595</v>
      </c>
      <c r="M69" s="431">
        <v>50254</v>
      </c>
      <c r="N69" s="431">
        <v>0</v>
      </c>
      <c r="O69" s="748">
        <v>12.42</v>
      </c>
      <c r="P69" s="440">
        <f>W69*-1</f>
        <v>0</v>
      </c>
      <c r="Q69" s="325">
        <v>0</v>
      </c>
      <c r="R69" s="325">
        <v>0</v>
      </c>
      <c r="S69" s="325">
        <v>0</v>
      </c>
      <c r="T69" s="325">
        <v>0</v>
      </c>
      <c r="U69" s="325">
        <v>0</v>
      </c>
      <c r="V69" s="492">
        <f t="shared" si="172"/>
        <v>0</v>
      </c>
      <c r="W69" s="325">
        <v>0</v>
      </c>
      <c r="X69" s="325">
        <v>0</v>
      </c>
      <c r="Y69" s="325">
        <v>0</v>
      </c>
      <c r="Z69" s="492">
        <f t="shared" si="173"/>
        <v>0</v>
      </c>
      <c r="AA69" s="492">
        <f t="shared" si="174"/>
        <v>0</v>
      </c>
      <c r="AB69" s="494">
        <f t="shared" si="175"/>
        <v>0</v>
      </c>
      <c r="AC69" s="494">
        <f t="shared" si="176"/>
        <v>0</v>
      </c>
      <c r="AD69" s="492">
        <v>0</v>
      </c>
      <c r="AE69" s="753">
        <f t="shared" si="177"/>
        <v>0</v>
      </c>
      <c r="AF69" s="688">
        <v>0</v>
      </c>
      <c r="AG69" s="326">
        <v>0</v>
      </c>
      <c r="AH69" s="326">
        <v>0</v>
      </c>
      <c r="AI69" s="326">
        <v>0</v>
      </c>
      <c r="AJ69" s="326">
        <v>0</v>
      </c>
      <c r="AK69" s="326">
        <v>0</v>
      </c>
      <c r="AL69" s="609">
        <f t="shared" si="178"/>
        <v>0</v>
      </c>
      <c r="AM69" s="493">
        <f>I69+AE69</f>
        <v>6774278</v>
      </c>
      <c r="AN69" s="492">
        <f>J69+V69</f>
        <v>5025429</v>
      </c>
      <c r="AO69" s="573">
        <f t="shared" si="179"/>
        <v>0</v>
      </c>
      <c r="AP69" s="492">
        <f t="shared" si="180"/>
        <v>1698595</v>
      </c>
      <c r="AQ69" s="492">
        <f t="shared" si="180"/>
        <v>50254</v>
      </c>
      <c r="AR69" s="573">
        <f t="shared" si="180"/>
        <v>0</v>
      </c>
      <c r="AS69" s="491">
        <f t="shared" si="181"/>
        <v>12.42</v>
      </c>
    </row>
    <row r="70" spans="1:45" s="152" customFormat="1" ht="12.75" customHeight="1" x14ac:dyDescent="0.2">
      <c r="A70" s="154">
        <v>20</v>
      </c>
      <c r="B70" s="155">
        <v>3409</v>
      </c>
      <c r="C70" s="155">
        <v>600078396</v>
      </c>
      <c r="D70" s="155">
        <v>43257399</v>
      </c>
      <c r="E70" s="156" t="s">
        <v>42</v>
      </c>
      <c r="F70" s="155">
        <v>3143</v>
      </c>
      <c r="G70" s="156" t="s">
        <v>794</v>
      </c>
      <c r="H70" s="157" t="s">
        <v>262</v>
      </c>
      <c r="I70" s="580">
        <v>3779649</v>
      </c>
      <c r="J70" s="323">
        <v>2803894</v>
      </c>
      <c r="K70" s="410">
        <v>0</v>
      </c>
      <c r="L70" s="431">
        <v>947716</v>
      </c>
      <c r="M70" s="431">
        <v>28039</v>
      </c>
      <c r="N70" s="431">
        <v>0</v>
      </c>
      <c r="O70" s="748">
        <v>5.5</v>
      </c>
      <c r="P70" s="440">
        <f>W70*-1</f>
        <v>0</v>
      </c>
      <c r="Q70" s="325">
        <v>0</v>
      </c>
      <c r="R70" s="325">
        <v>0</v>
      </c>
      <c r="S70" s="325">
        <v>0</v>
      </c>
      <c r="T70" s="325">
        <v>0</v>
      </c>
      <c r="U70" s="325">
        <v>0</v>
      </c>
      <c r="V70" s="492">
        <f t="shared" si="172"/>
        <v>0</v>
      </c>
      <c r="W70" s="325">
        <v>0</v>
      </c>
      <c r="X70" s="325">
        <v>0</v>
      </c>
      <c r="Y70" s="325">
        <v>0</v>
      </c>
      <c r="Z70" s="492">
        <f t="shared" si="173"/>
        <v>0</v>
      </c>
      <c r="AA70" s="492">
        <f t="shared" si="174"/>
        <v>0</v>
      </c>
      <c r="AB70" s="494">
        <f t="shared" si="175"/>
        <v>0</v>
      </c>
      <c r="AC70" s="494">
        <f t="shared" si="176"/>
        <v>0</v>
      </c>
      <c r="AD70" s="492">
        <v>0</v>
      </c>
      <c r="AE70" s="753">
        <f t="shared" si="177"/>
        <v>0</v>
      </c>
      <c r="AF70" s="688">
        <v>0</v>
      </c>
      <c r="AG70" s="326">
        <v>0</v>
      </c>
      <c r="AH70" s="326">
        <v>0</v>
      </c>
      <c r="AI70" s="326">
        <v>0</v>
      </c>
      <c r="AJ70" s="326">
        <v>0</v>
      </c>
      <c r="AK70" s="326">
        <v>0</v>
      </c>
      <c r="AL70" s="609">
        <f t="shared" si="178"/>
        <v>0</v>
      </c>
      <c r="AM70" s="493">
        <f>I70+AE70</f>
        <v>3779649</v>
      </c>
      <c r="AN70" s="492">
        <f>J70+V70</f>
        <v>2803894</v>
      </c>
      <c r="AO70" s="573">
        <f t="shared" si="179"/>
        <v>0</v>
      </c>
      <c r="AP70" s="492">
        <f t="shared" si="180"/>
        <v>947716</v>
      </c>
      <c r="AQ70" s="492">
        <f t="shared" si="180"/>
        <v>28039</v>
      </c>
      <c r="AR70" s="573">
        <f t="shared" si="180"/>
        <v>0</v>
      </c>
      <c r="AS70" s="491">
        <f t="shared" si="181"/>
        <v>5.5</v>
      </c>
    </row>
    <row r="71" spans="1:45" s="152" customFormat="1" ht="12.75" customHeight="1" x14ac:dyDescent="0.2">
      <c r="A71" s="105">
        <v>20</v>
      </c>
      <c r="B71" s="12">
        <v>3409</v>
      </c>
      <c r="C71" s="104">
        <v>600078396</v>
      </c>
      <c r="D71" s="104">
        <v>43257399</v>
      </c>
      <c r="E71" s="153" t="s">
        <v>43</v>
      </c>
      <c r="F71" s="12"/>
      <c r="G71" s="153"/>
      <c r="H71" s="407"/>
      <c r="I71" s="746">
        <v>36952973</v>
      </c>
      <c r="J71" s="378">
        <v>27413184</v>
      </c>
      <c r="K71" s="378">
        <v>0</v>
      </c>
      <c r="L71" s="378">
        <v>9265657</v>
      </c>
      <c r="M71" s="378">
        <v>274132</v>
      </c>
      <c r="N71" s="378">
        <v>0</v>
      </c>
      <c r="O71" s="340">
        <v>46.63</v>
      </c>
      <c r="P71" s="444">
        <f t="shared" ref="P71:AS71" si="182">SUM(P67:P70)</f>
        <v>0</v>
      </c>
      <c r="Q71" s="378">
        <f t="shared" si="182"/>
        <v>0</v>
      </c>
      <c r="R71" s="378">
        <f t="shared" si="182"/>
        <v>0</v>
      </c>
      <c r="S71" s="378">
        <f t="shared" si="182"/>
        <v>0</v>
      </c>
      <c r="T71" s="378">
        <f t="shared" si="182"/>
        <v>0</v>
      </c>
      <c r="U71" s="378">
        <f t="shared" si="182"/>
        <v>0</v>
      </c>
      <c r="V71" s="378">
        <f t="shared" si="182"/>
        <v>0</v>
      </c>
      <c r="W71" s="378">
        <f t="shared" si="182"/>
        <v>0</v>
      </c>
      <c r="X71" s="378">
        <f t="shared" si="182"/>
        <v>0</v>
      </c>
      <c r="Y71" s="378">
        <f t="shared" si="182"/>
        <v>0</v>
      </c>
      <c r="Z71" s="378">
        <f t="shared" si="182"/>
        <v>0</v>
      </c>
      <c r="AA71" s="378">
        <f t="shared" si="182"/>
        <v>0</v>
      </c>
      <c r="AB71" s="378">
        <f t="shared" si="182"/>
        <v>0</v>
      </c>
      <c r="AC71" s="378">
        <f t="shared" si="182"/>
        <v>0</v>
      </c>
      <c r="AD71" s="378">
        <f t="shared" si="182"/>
        <v>0</v>
      </c>
      <c r="AE71" s="752">
        <f t="shared" si="182"/>
        <v>0</v>
      </c>
      <c r="AF71" s="754">
        <f t="shared" si="182"/>
        <v>0</v>
      </c>
      <c r="AG71" s="398">
        <f t="shared" si="182"/>
        <v>0</v>
      </c>
      <c r="AH71" s="398">
        <f t="shared" si="182"/>
        <v>0</v>
      </c>
      <c r="AI71" s="398">
        <f t="shared" si="182"/>
        <v>0</v>
      </c>
      <c r="AJ71" s="398">
        <f t="shared" si="182"/>
        <v>0</v>
      </c>
      <c r="AK71" s="398">
        <f t="shared" si="182"/>
        <v>0</v>
      </c>
      <c r="AL71" s="340">
        <f t="shared" si="182"/>
        <v>0</v>
      </c>
      <c r="AM71" s="444">
        <f t="shared" si="182"/>
        <v>36952973</v>
      </c>
      <c r="AN71" s="378">
        <f t="shared" si="182"/>
        <v>27413184</v>
      </c>
      <c r="AO71" s="378">
        <f t="shared" si="182"/>
        <v>0</v>
      </c>
      <c r="AP71" s="378">
        <f t="shared" si="182"/>
        <v>9265657</v>
      </c>
      <c r="AQ71" s="378">
        <f t="shared" si="182"/>
        <v>274132</v>
      </c>
      <c r="AR71" s="378">
        <f t="shared" si="182"/>
        <v>0</v>
      </c>
      <c r="AS71" s="398">
        <f t="shared" si="182"/>
        <v>46.63</v>
      </c>
    </row>
    <row r="72" spans="1:45" s="152" customFormat="1" ht="12.75" customHeight="1" x14ac:dyDescent="0.2">
      <c r="A72" s="154">
        <v>21</v>
      </c>
      <c r="B72" s="155">
        <v>3415</v>
      </c>
      <c r="C72" s="155">
        <v>600078523</v>
      </c>
      <c r="D72" s="155">
        <v>72743271</v>
      </c>
      <c r="E72" s="156" t="s">
        <v>44</v>
      </c>
      <c r="F72" s="155">
        <v>3113</v>
      </c>
      <c r="G72" s="156" t="s">
        <v>280</v>
      </c>
      <c r="H72" s="157" t="s">
        <v>262</v>
      </c>
      <c r="I72" s="610">
        <v>30606069</v>
      </c>
      <c r="J72" s="410">
        <v>22704798</v>
      </c>
      <c r="K72" s="410">
        <v>0</v>
      </c>
      <c r="L72" s="431">
        <v>7674222</v>
      </c>
      <c r="M72" s="431">
        <v>227049</v>
      </c>
      <c r="N72" s="431">
        <v>0</v>
      </c>
      <c r="O72" s="747">
        <v>28.95</v>
      </c>
      <c r="P72" s="445">
        <f>W72*-1</f>
        <v>0</v>
      </c>
      <c r="Q72" s="325">
        <v>0</v>
      </c>
      <c r="R72" s="325">
        <v>0</v>
      </c>
      <c r="S72" s="325">
        <v>0</v>
      </c>
      <c r="T72" s="325">
        <v>0</v>
      </c>
      <c r="U72" s="325">
        <v>0</v>
      </c>
      <c r="V72" s="492">
        <f t="shared" ref="V72:V75" si="183">P72+Q72+R72+S72+T72+U72</f>
        <v>0</v>
      </c>
      <c r="W72" s="325">
        <v>0</v>
      </c>
      <c r="X72" s="325">
        <v>0</v>
      </c>
      <c r="Y72" s="325">
        <v>0</v>
      </c>
      <c r="Z72" s="492">
        <f t="shared" ref="Z72:Z75" si="184">W72+X72+Y72</f>
        <v>0</v>
      </c>
      <c r="AA72" s="492">
        <f t="shared" ref="AA72:AA75" si="185">V72+Z72</f>
        <v>0</v>
      </c>
      <c r="AB72" s="494">
        <f t="shared" ref="AB72:AB75" si="186">ROUND((V72+Z72)*33.8%,0)</f>
        <v>0</v>
      </c>
      <c r="AC72" s="494">
        <f t="shared" ref="AC72:AC75" si="187">ROUND(V72*1%,0)</f>
        <v>0</v>
      </c>
      <c r="AD72" s="492">
        <v>0</v>
      </c>
      <c r="AE72" s="753">
        <f t="shared" ref="AE72:AE75" si="188">AA72+AB72+AC72+AD72</f>
        <v>0</v>
      </c>
      <c r="AF72" s="688">
        <v>0</v>
      </c>
      <c r="AG72" s="326">
        <v>0</v>
      </c>
      <c r="AH72" s="326">
        <v>0</v>
      </c>
      <c r="AI72" s="326">
        <v>0</v>
      </c>
      <c r="AJ72" s="326">
        <v>0</v>
      </c>
      <c r="AK72" s="326">
        <v>0</v>
      </c>
      <c r="AL72" s="609">
        <f t="shared" ref="AL72:AL75" si="189">SUM(AF72:AK72)</f>
        <v>0</v>
      </c>
      <c r="AM72" s="493">
        <f>I72+AE72</f>
        <v>30606069</v>
      </c>
      <c r="AN72" s="492">
        <f>J72+V72</f>
        <v>22704798</v>
      </c>
      <c r="AO72" s="573">
        <f t="shared" ref="AO72:AO75" si="190">K72+Z72</f>
        <v>0</v>
      </c>
      <c r="AP72" s="492">
        <f t="shared" ref="AP72:AR75" si="191">L72+AB72</f>
        <v>7674222</v>
      </c>
      <c r="AQ72" s="492">
        <f t="shared" si="191"/>
        <v>227049</v>
      </c>
      <c r="AR72" s="573">
        <f t="shared" si="191"/>
        <v>0</v>
      </c>
      <c r="AS72" s="491">
        <f t="shared" ref="AS72:AS75" si="192">O72+AL72</f>
        <v>28.95</v>
      </c>
    </row>
    <row r="73" spans="1:45" s="152" customFormat="1" ht="12.75" customHeight="1" x14ac:dyDescent="0.2">
      <c r="A73" s="154">
        <v>21</v>
      </c>
      <c r="B73" s="155">
        <v>3415</v>
      </c>
      <c r="C73" s="155">
        <v>600078523</v>
      </c>
      <c r="D73" s="155">
        <v>72743271</v>
      </c>
      <c r="E73" s="156" t="s">
        <v>44</v>
      </c>
      <c r="F73" s="155">
        <v>3113</v>
      </c>
      <c r="G73" s="156" t="s">
        <v>799</v>
      </c>
      <c r="H73" s="157" t="s">
        <v>262</v>
      </c>
      <c r="I73" s="610">
        <v>714235</v>
      </c>
      <c r="J73" s="410">
        <v>529848</v>
      </c>
      <c r="K73" s="410">
        <v>0</v>
      </c>
      <c r="L73" s="431">
        <v>179089</v>
      </c>
      <c r="M73" s="431">
        <v>5298</v>
      </c>
      <c r="N73" s="431">
        <v>0</v>
      </c>
      <c r="O73" s="747">
        <v>1</v>
      </c>
      <c r="P73" s="445">
        <f>W73*-1</f>
        <v>0</v>
      </c>
      <c r="Q73" s="325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 t="shared" si="183"/>
        <v>0</v>
      </c>
      <c r="W73" s="325">
        <v>0</v>
      </c>
      <c r="X73" s="325">
        <v>0</v>
      </c>
      <c r="Y73" s="325">
        <v>0</v>
      </c>
      <c r="Z73" s="492">
        <f t="shared" si="184"/>
        <v>0</v>
      </c>
      <c r="AA73" s="492">
        <f t="shared" si="185"/>
        <v>0</v>
      </c>
      <c r="AB73" s="494">
        <f t="shared" si="186"/>
        <v>0</v>
      </c>
      <c r="AC73" s="494">
        <f t="shared" si="187"/>
        <v>0</v>
      </c>
      <c r="AD73" s="492">
        <v>0</v>
      </c>
      <c r="AE73" s="753">
        <f t="shared" si="188"/>
        <v>0</v>
      </c>
      <c r="AF73" s="688">
        <v>0</v>
      </c>
      <c r="AG73" s="326">
        <v>0</v>
      </c>
      <c r="AH73" s="326">
        <v>0</v>
      </c>
      <c r="AI73" s="326">
        <v>0</v>
      </c>
      <c r="AJ73" s="326">
        <v>0</v>
      </c>
      <c r="AK73" s="326">
        <v>0</v>
      </c>
      <c r="AL73" s="609">
        <f t="shared" si="189"/>
        <v>0</v>
      </c>
      <c r="AM73" s="493">
        <f>I73+AE73</f>
        <v>714235</v>
      </c>
      <c r="AN73" s="492">
        <f>J73+V73</f>
        <v>529848</v>
      </c>
      <c r="AO73" s="573">
        <f t="shared" si="190"/>
        <v>0</v>
      </c>
      <c r="AP73" s="492">
        <f t="shared" si="191"/>
        <v>179089</v>
      </c>
      <c r="AQ73" s="492">
        <f t="shared" si="191"/>
        <v>5298</v>
      </c>
      <c r="AR73" s="573">
        <f t="shared" si="191"/>
        <v>0</v>
      </c>
      <c r="AS73" s="491">
        <f t="shared" si="192"/>
        <v>1</v>
      </c>
    </row>
    <row r="74" spans="1:45" s="152" customFormat="1" x14ac:dyDescent="0.2">
      <c r="A74" s="154">
        <v>21</v>
      </c>
      <c r="B74" s="155">
        <v>3415</v>
      </c>
      <c r="C74" s="155">
        <v>600078523</v>
      </c>
      <c r="D74" s="155">
        <v>72743271</v>
      </c>
      <c r="E74" s="156" t="s">
        <v>44</v>
      </c>
      <c r="F74" s="155">
        <v>3113</v>
      </c>
      <c r="G74" s="156" t="s">
        <v>278</v>
      </c>
      <c r="H74" s="157" t="s">
        <v>263</v>
      </c>
      <c r="I74" s="580">
        <v>3402353</v>
      </c>
      <c r="J74" s="323">
        <v>2524001</v>
      </c>
      <c r="K74" s="410">
        <v>0</v>
      </c>
      <c r="L74" s="431">
        <v>853112</v>
      </c>
      <c r="M74" s="431">
        <v>25240</v>
      </c>
      <c r="N74" s="431">
        <v>0</v>
      </c>
      <c r="O74" s="748">
        <v>6.39</v>
      </c>
      <c r="P74" s="440">
        <f>W74*-1</f>
        <v>0</v>
      </c>
      <c r="Q74" s="325">
        <f>-22075</f>
        <v>-22075</v>
      </c>
      <c r="R74" s="325">
        <v>0</v>
      </c>
      <c r="S74" s="325">
        <v>0</v>
      </c>
      <c r="T74" s="325">
        <v>0</v>
      </c>
      <c r="U74" s="325">
        <v>0</v>
      </c>
      <c r="V74" s="492">
        <f t="shared" si="183"/>
        <v>-22075</v>
      </c>
      <c r="W74" s="325">
        <v>0</v>
      </c>
      <c r="X74" s="325">
        <v>0</v>
      </c>
      <c r="Y74" s="325">
        <v>0</v>
      </c>
      <c r="Z74" s="492">
        <f t="shared" si="184"/>
        <v>0</v>
      </c>
      <c r="AA74" s="492">
        <f t="shared" si="185"/>
        <v>-22075</v>
      </c>
      <c r="AB74" s="494">
        <f t="shared" si="186"/>
        <v>-7461</v>
      </c>
      <c r="AC74" s="494">
        <f t="shared" si="187"/>
        <v>-221</v>
      </c>
      <c r="AD74" s="492">
        <v>0</v>
      </c>
      <c r="AE74" s="753">
        <f t="shared" si="188"/>
        <v>-29757</v>
      </c>
      <c r="AF74" s="688">
        <v>0</v>
      </c>
      <c r="AG74" s="326">
        <f>-0.04</f>
        <v>-0.04</v>
      </c>
      <c r="AH74" s="326">
        <v>0</v>
      </c>
      <c r="AI74" s="326">
        <v>0</v>
      </c>
      <c r="AJ74" s="326">
        <v>0</v>
      </c>
      <c r="AK74" s="326">
        <v>0</v>
      </c>
      <c r="AL74" s="609">
        <f t="shared" si="189"/>
        <v>-0.04</v>
      </c>
      <c r="AM74" s="493">
        <f>I74+AE74</f>
        <v>3372596</v>
      </c>
      <c r="AN74" s="492">
        <f>J74+V74</f>
        <v>2501926</v>
      </c>
      <c r="AO74" s="573">
        <f t="shared" si="190"/>
        <v>0</v>
      </c>
      <c r="AP74" s="492">
        <f t="shared" si="191"/>
        <v>845651</v>
      </c>
      <c r="AQ74" s="492">
        <f t="shared" si="191"/>
        <v>25019</v>
      </c>
      <c r="AR74" s="573">
        <f t="shared" si="191"/>
        <v>0</v>
      </c>
      <c r="AS74" s="491">
        <f t="shared" si="192"/>
        <v>6.35</v>
      </c>
    </row>
    <row r="75" spans="1:45" s="152" customFormat="1" ht="12.75" customHeight="1" x14ac:dyDescent="0.2">
      <c r="A75" s="154">
        <v>21</v>
      </c>
      <c r="B75" s="155">
        <v>3415</v>
      </c>
      <c r="C75" s="155">
        <v>600078523</v>
      </c>
      <c r="D75" s="155">
        <v>72743271</v>
      </c>
      <c r="E75" s="156" t="s">
        <v>44</v>
      </c>
      <c r="F75" s="155">
        <v>3143</v>
      </c>
      <c r="G75" s="156" t="s">
        <v>795</v>
      </c>
      <c r="H75" s="157" t="s">
        <v>262</v>
      </c>
      <c r="I75" s="580">
        <v>4035426</v>
      </c>
      <c r="J75" s="323">
        <v>2993640</v>
      </c>
      <c r="K75" s="410">
        <v>0</v>
      </c>
      <c r="L75" s="431">
        <v>1011850</v>
      </c>
      <c r="M75" s="431">
        <v>29936</v>
      </c>
      <c r="N75" s="431">
        <v>0</v>
      </c>
      <c r="O75" s="748">
        <v>5.59</v>
      </c>
      <c r="P75" s="440">
        <f>W75*-1</f>
        <v>0</v>
      </c>
      <c r="Q75" s="325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 t="shared" si="183"/>
        <v>0</v>
      </c>
      <c r="W75" s="325">
        <v>0</v>
      </c>
      <c r="X75" s="325">
        <v>0</v>
      </c>
      <c r="Y75" s="325">
        <v>0</v>
      </c>
      <c r="Z75" s="492">
        <f t="shared" si="184"/>
        <v>0</v>
      </c>
      <c r="AA75" s="492">
        <f t="shared" si="185"/>
        <v>0</v>
      </c>
      <c r="AB75" s="494">
        <f t="shared" si="186"/>
        <v>0</v>
      </c>
      <c r="AC75" s="494">
        <f t="shared" si="187"/>
        <v>0</v>
      </c>
      <c r="AD75" s="492">
        <v>0</v>
      </c>
      <c r="AE75" s="753">
        <f t="shared" si="188"/>
        <v>0</v>
      </c>
      <c r="AF75" s="688">
        <v>0</v>
      </c>
      <c r="AG75" s="326">
        <v>0</v>
      </c>
      <c r="AH75" s="326">
        <v>0</v>
      </c>
      <c r="AI75" s="326">
        <v>0</v>
      </c>
      <c r="AJ75" s="326">
        <v>0</v>
      </c>
      <c r="AK75" s="326">
        <v>0</v>
      </c>
      <c r="AL75" s="609">
        <f t="shared" si="189"/>
        <v>0</v>
      </c>
      <c r="AM75" s="493">
        <f>I75+AE75</f>
        <v>4035426</v>
      </c>
      <c r="AN75" s="492">
        <f>J75+V75</f>
        <v>2993640</v>
      </c>
      <c r="AO75" s="573">
        <f t="shared" si="190"/>
        <v>0</v>
      </c>
      <c r="AP75" s="492">
        <f t="shared" si="191"/>
        <v>1011850</v>
      </c>
      <c r="AQ75" s="492">
        <f t="shared" si="191"/>
        <v>29936</v>
      </c>
      <c r="AR75" s="573">
        <f t="shared" si="191"/>
        <v>0</v>
      </c>
      <c r="AS75" s="491">
        <f t="shared" si="192"/>
        <v>5.59</v>
      </c>
    </row>
    <row r="76" spans="1:45" s="152" customFormat="1" ht="12.75" customHeight="1" x14ac:dyDescent="0.2">
      <c r="A76" s="105">
        <v>21</v>
      </c>
      <c r="B76" s="12">
        <v>3415</v>
      </c>
      <c r="C76" s="104">
        <v>600078523</v>
      </c>
      <c r="D76" s="104">
        <v>72743271</v>
      </c>
      <c r="E76" s="153" t="s">
        <v>45</v>
      </c>
      <c r="F76" s="12"/>
      <c r="G76" s="153"/>
      <c r="H76" s="407"/>
      <c r="I76" s="746">
        <v>38758083</v>
      </c>
      <c r="J76" s="378">
        <v>28752287</v>
      </c>
      <c r="K76" s="378">
        <v>0</v>
      </c>
      <c r="L76" s="378">
        <v>9718273</v>
      </c>
      <c r="M76" s="378">
        <v>287523</v>
      </c>
      <c r="N76" s="378">
        <v>0</v>
      </c>
      <c r="O76" s="340">
        <v>41.929999999999993</v>
      </c>
      <c r="P76" s="444">
        <f t="shared" ref="P76:AS76" si="193">SUM(P72:P75)</f>
        <v>0</v>
      </c>
      <c r="Q76" s="378">
        <f t="shared" si="193"/>
        <v>-22075</v>
      </c>
      <c r="R76" s="378">
        <f t="shared" si="193"/>
        <v>0</v>
      </c>
      <c r="S76" s="378">
        <f t="shared" si="193"/>
        <v>0</v>
      </c>
      <c r="T76" s="378">
        <f t="shared" si="193"/>
        <v>0</v>
      </c>
      <c r="U76" s="378">
        <f t="shared" si="193"/>
        <v>0</v>
      </c>
      <c r="V76" s="378">
        <f t="shared" si="193"/>
        <v>-22075</v>
      </c>
      <c r="W76" s="378">
        <f t="shared" si="193"/>
        <v>0</v>
      </c>
      <c r="X76" s="378">
        <f t="shared" si="193"/>
        <v>0</v>
      </c>
      <c r="Y76" s="378">
        <f t="shared" si="193"/>
        <v>0</v>
      </c>
      <c r="Z76" s="378">
        <f t="shared" si="193"/>
        <v>0</v>
      </c>
      <c r="AA76" s="378">
        <f t="shared" si="193"/>
        <v>-22075</v>
      </c>
      <c r="AB76" s="378">
        <f t="shared" si="193"/>
        <v>-7461</v>
      </c>
      <c r="AC76" s="378">
        <f t="shared" si="193"/>
        <v>-221</v>
      </c>
      <c r="AD76" s="378">
        <f t="shared" si="193"/>
        <v>0</v>
      </c>
      <c r="AE76" s="752">
        <f t="shared" si="193"/>
        <v>-29757</v>
      </c>
      <c r="AF76" s="754">
        <f t="shared" si="193"/>
        <v>0</v>
      </c>
      <c r="AG76" s="398">
        <f t="shared" si="193"/>
        <v>-0.04</v>
      </c>
      <c r="AH76" s="398">
        <f t="shared" si="193"/>
        <v>0</v>
      </c>
      <c r="AI76" s="398">
        <f t="shared" si="193"/>
        <v>0</v>
      </c>
      <c r="AJ76" s="398">
        <f t="shared" si="193"/>
        <v>0</v>
      </c>
      <c r="AK76" s="398">
        <f t="shared" si="193"/>
        <v>0</v>
      </c>
      <c r="AL76" s="340">
        <f t="shared" si="193"/>
        <v>-0.04</v>
      </c>
      <c r="AM76" s="444">
        <f t="shared" si="193"/>
        <v>38728326</v>
      </c>
      <c r="AN76" s="378">
        <f t="shared" si="193"/>
        <v>28730212</v>
      </c>
      <c r="AO76" s="378">
        <f t="shared" si="193"/>
        <v>0</v>
      </c>
      <c r="AP76" s="378">
        <f t="shared" si="193"/>
        <v>9710812</v>
      </c>
      <c r="AQ76" s="378">
        <f t="shared" si="193"/>
        <v>287302</v>
      </c>
      <c r="AR76" s="378">
        <f t="shared" si="193"/>
        <v>0</v>
      </c>
      <c r="AS76" s="398">
        <f t="shared" si="193"/>
        <v>41.89</v>
      </c>
    </row>
    <row r="77" spans="1:45" s="152" customFormat="1" ht="12.75" customHeight="1" x14ac:dyDescent="0.2">
      <c r="A77" s="154">
        <v>22</v>
      </c>
      <c r="B77" s="155">
        <v>3412</v>
      </c>
      <c r="C77" s="155">
        <v>600078540</v>
      </c>
      <c r="D77" s="155">
        <v>72742879</v>
      </c>
      <c r="E77" s="156" t="s">
        <v>46</v>
      </c>
      <c r="F77" s="155">
        <v>3113</v>
      </c>
      <c r="G77" s="156" t="s">
        <v>280</v>
      </c>
      <c r="H77" s="157" t="s">
        <v>262</v>
      </c>
      <c r="I77" s="610">
        <v>43511709</v>
      </c>
      <c r="J77" s="410">
        <v>32278716</v>
      </c>
      <c r="K77" s="410">
        <v>0</v>
      </c>
      <c r="L77" s="431">
        <v>10910206</v>
      </c>
      <c r="M77" s="431">
        <v>322787</v>
      </c>
      <c r="N77" s="431">
        <v>0</v>
      </c>
      <c r="O77" s="747">
        <v>40.64</v>
      </c>
      <c r="P77" s="445">
        <f>W77*-1</f>
        <v>0</v>
      </c>
      <c r="Q77" s="325">
        <v>0</v>
      </c>
      <c r="R77" s="325">
        <v>0</v>
      </c>
      <c r="S77" s="325">
        <v>0</v>
      </c>
      <c r="T77" s="325">
        <v>0</v>
      </c>
      <c r="U77" s="325">
        <v>0</v>
      </c>
      <c r="V77" s="492">
        <f t="shared" ref="V77:V80" si="194">P77+Q77+R77+S77+T77+U77</f>
        <v>0</v>
      </c>
      <c r="W77" s="325">
        <v>0</v>
      </c>
      <c r="X77" s="325">
        <v>0</v>
      </c>
      <c r="Y77" s="325">
        <v>0</v>
      </c>
      <c r="Z77" s="492">
        <f t="shared" ref="Z77:Z80" si="195">W77+X77+Y77</f>
        <v>0</v>
      </c>
      <c r="AA77" s="492">
        <f t="shared" ref="AA77:AA80" si="196">V77+Z77</f>
        <v>0</v>
      </c>
      <c r="AB77" s="494">
        <f t="shared" ref="AB77:AB80" si="197">ROUND((V77+Z77)*33.8%,0)</f>
        <v>0</v>
      </c>
      <c r="AC77" s="494">
        <f t="shared" ref="AC77:AC80" si="198">ROUND(V77*1%,0)</f>
        <v>0</v>
      </c>
      <c r="AD77" s="492">
        <v>0</v>
      </c>
      <c r="AE77" s="753">
        <f t="shared" ref="AE77:AE80" si="199">AA77+AB77+AC77+AD77</f>
        <v>0</v>
      </c>
      <c r="AF77" s="688">
        <v>0</v>
      </c>
      <c r="AG77" s="326">
        <v>0</v>
      </c>
      <c r="AH77" s="326">
        <v>0</v>
      </c>
      <c r="AI77" s="326">
        <v>0</v>
      </c>
      <c r="AJ77" s="326">
        <v>0</v>
      </c>
      <c r="AK77" s="326">
        <v>0</v>
      </c>
      <c r="AL77" s="609">
        <f t="shared" ref="AL77:AL80" si="200">SUM(AF77:AK77)</f>
        <v>0</v>
      </c>
      <c r="AM77" s="493">
        <f>I77+AE77</f>
        <v>43511709</v>
      </c>
      <c r="AN77" s="492">
        <f>J77+V77</f>
        <v>32278716</v>
      </c>
      <c r="AO77" s="573">
        <f t="shared" ref="AO77:AO80" si="201">K77+Z77</f>
        <v>0</v>
      </c>
      <c r="AP77" s="492">
        <f t="shared" ref="AP77:AR80" si="202">L77+AB77</f>
        <v>10910206</v>
      </c>
      <c r="AQ77" s="492">
        <f t="shared" si="202"/>
        <v>322787</v>
      </c>
      <c r="AR77" s="573">
        <f t="shared" si="202"/>
        <v>0</v>
      </c>
      <c r="AS77" s="491">
        <f t="shared" ref="AS77:AS80" si="203">O77+AL77</f>
        <v>40.64</v>
      </c>
    </row>
    <row r="78" spans="1:45" s="152" customFormat="1" ht="12.75" customHeight="1" x14ac:dyDescent="0.2">
      <c r="A78" s="154">
        <v>22</v>
      </c>
      <c r="B78" s="155">
        <v>3412</v>
      </c>
      <c r="C78" s="155">
        <v>600078540</v>
      </c>
      <c r="D78" s="155">
        <v>72742879</v>
      </c>
      <c r="E78" s="156" t="s">
        <v>46</v>
      </c>
      <c r="F78" s="155">
        <v>3113</v>
      </c>
      <c r="G78" s="156" t="s">
        <v>799</v>
      </c>
      <c r="H78" s="157" t="s">
        <v>262</v>
      </c>
      <c r="I78" s="610">
        <v>809690</v>
      </c>
      <c r="J78" s="410">
        <v>600660</v>
      </c>
      <c r="K78" s="410">
        <v>0</v>
      </c>
      <c r="L78" s="431">
        <v>203023</v>
      </c>
      <c r="M78" s="431">
        <v>6007</v>
      </c>
      <c r="N78" s="431">
        <v>0</v>
      </c>
      <c r="O78" s="747">
        <v>1</v>
      </c>
      <c r="P78" s="445">
        <f>W78*-1</f>
        <v>0</v>
      </c>
      <c r="Q78" s="325">
        <v>0</v>
      </c>
      <c r="R78" s="325">
        <v>0</v>
      </c>
      <c r="S78" s="325">
        <v>0</v>
      </c>
      <c r="T78" s="325">
        <v>0</v>
      </c>
      <c r="U78" s="325">
        <v>0</v>
      </c>
      <c r="V78" s="492">
        <f t="shared" si="194"/>
        <v>0</v>
      </c>
      <c r="W78" s="325">
        <v>0</v>
      </c>
      <c r="X78" s="325">
        <v>0</v>
      </c>
      <c r="Y78" s="325">
        <v>0</v>
      </c>
      <c r="Z78" s="492">
        <f t="shared" si="195"/>
        <v>0</v>
      </c>
      <c r="AA78" s="492">
        <f t="shared" si="196"/>
        <v>0</v>
      </c>
      <c r="AB78" s="494">
        <f t="shared" si="197"/>
        <v>0</v>
      </c>
      <c r="AC78" s="494">
        <f t="shared" si="198"/>
        <v>0</v>
      </c>
      <c r="AD78" s="492">
        <v>0</v>
      </c>
      <c r="AE78" s="753">
        <f t="shared" si="199"/>
        <v>0</v>
      </c>
      <c r="AF78" s="688">
        <v>0</v>
      </c>
      <c r="AG78" s="326">
        <v>0</v>
      </c>
      <c r="AH78" s="326">
        <v>0</v>
      </c>
      <c r="AI78" s="326">
        <v>0</v>
      </c>
      <c r="AJ78" s="326">
        <v>0</v>
      </c>
      <c r="AK78" s="326">
        <v>0</v>
      </c>
      <c r="AL78" s="609">
        <f t="shared" si="200"/>
        <v>0</v>
      </c>
      <c r="AM78" s="493">
        <f>I78+AE78</f>
        <v>809690</v>
      </c>
      <c r="AN78" s="492">
        <f>J78+V78</f>
        <v>600660</v>
      </c>
      <c r="AO78" s="573">
        <f t="shared" si="201"/>
        <v>0</v>
      </c>
      <c r="AP78" s="492">
        <f t="shared" si="202"/>
        <v>203023</v>
      </c>
      <c r="AQ78" s="492">
        <f t="shared" si="202"/>
        <v>6007</v>
      </c>
      <c r="AR78" s="573">
        <f t="shared" si="202"/>
        <v>0</v>
      </c>
      <c r="AS78" s="491">
        <f t="shared" si="203"/>
        <v>1</v>
      </c>
    </row>
    <row r="79" spans="1:45" s="152" customFormat="1" x14ac:dyDescent="0.2">
      <c r="A79" s="154">
        <v>22</v>
      </c>
      <c r="B79" s="155">
        <v>3412</v>
      </c>
      <c r="C79" s="155">
        <v>600078540</v>
      </c>
      <c r="D79" s="155">
        <v>72742879</v>
      </c>
      <c r="E79" s="156" t="s">
        <v>46</v>
      </c>
      <c r="F79" s="155">
        <v>3113</v>
      </c>
      <c r="G79" s="156" t="s">
        <v>278</v>
      </c>
      <c r="H79" s="157" t="s">
        <v>263</v>
      </c>
      <c r="I79" s="580">
        <v>5706163</v>
      </c>
      <c r="J79" s="323">
        <v>4233058</v>
      </c>
      <c r="K79" s="410">
        <v>0</v>
      </c>
      <c r="L79" s="431">
        <v>1430774</v>
      </c>
      <c r="M79" s="431">
        <v>42331</v>
      </c>
      <c r="N79" s="431">
        <v>0</v>
      </c>
      <c r="O79" s="748">
        <v>10.67</v>
      </c>
      <c r="P79" s="440">
        <f>W79*-1</f>
        <v>0</v>
      </c>
      <c r="Q79" s="325">
        <f>-181889</f>
        <v>-181889</v>
      </c>
      <c r="R79" s="325">
        <v>0</v>
      </c>
      <c r="S79" s="325">
        <v>0</v>
      </c>
      <c r="T79" s="325">
        <v>0</v>
      </c>
      <c r="U79" s="325">
        <v>0</v>
      </c>
      <c r="V79" s="492">
        <f t="shared" si="194"/>
        <v>-181889</v>
      </c>
      <c r="W79" s="325">
        <v>0</v>
      </c>
      <c r="X79" s="325">
        <v>0</v>
      </c>
      <c r="Y79" s="325">
        <v>0</v>
      </c>
      <c r="Z79" s="492">
        <f t="shared" si="195"/>
        <v>0</v>
      </c>
      <c r="AA79" s="492">
        <f t="shared" si="196"/>
        <v>-181889</v>
      </c>
      <c r="AB79" s="494">
        <f t="shared" si="197"/>
        <v>-61478</v>
      </c>
      <c r="AC79" s="494">
        <f t="shared" si="198"/>
        <v>-1819</v>
      </c>
      <c r="AD79" s="492">
        <v>0</v>
      </c>
      <c r="AE79" s="753">
        <f t="shared" si="199"/>
        <v>-245186</v>
      </c>
      <c r="AF79" s="688">
        <v>0</v>
      </c>
      <c r="AG79" s="326">
        <f>-0.46</f>
        <v>-0.46</v>
      </c>
      <c r="AH79" s="326">
        <v>0</v>
      </c>
      <c r="AI79" s="326">
        <v>0</v>
      </c>
      <c r="AJ79" s="326">
        <v>0</v>
      </c>
      <c r="AK79" s="326">
        <v>0</v>
      </c>
      <c r="AL79" s="609">
        <f t="shared" si="200"/>
        <v>-0.46</v>
      </c>
      <c r="AM79" s="493">
        <f>I79+AE79</f>
        <v>5460977</v>
      </c>
      <c r="AN79" s="492">
        <f>J79+V79</f>
        <v>4051169</v>
      </c>
      <c r="AO79" s="573">
        <f t="shared" si="201"/>
        <v>0</v>
      </c>
      <c r="AP79" s="492">
        <f t="shared" si="202"/>
        <v>1369296</v>
      </c>
      <c r="AQ79" s="492">
        <f t="shared" si="202"/>
        <v>40512</v>
      </c>
      <c r="AR79" s="573">
        <f t="shared" si="202"/>
        <v>0</v>
      </c>
      <c r="AS79" s="491">
        <f t="shared" si="203"/>
        <v>10.209999999999999</v>
      </c>
    </row>
    <row r="80" spans="1:45" s="152" customFormat="1" ht="12.75" customHeight="1" x14ac:dyDescent="0.2">
      <c r="A80" s="154">
        <v>22</v>
      </c>
      <c r="B80" s="155">
        <v>3412</v>
      </c>
      <c r="C80" s="155">
        <v>600078540</v>
      </c>
      <c r="D80" s="155">
        <v>72742879</v>
      </c>
      <c r="E80" s="156" t="s">
        <v>46</v>
      </c>
      <c r="F80" s="155">
        <v>3143</v>
      </c>
      <c r="G80" s="156" t="s">
        <v>794</v>
      </c>
      <c r="H80" s="157" t="s">
        <v>262</v>
      </c>
      <c r="I80" s="580">
        <v>4479306</v>
      </c>
      <c r="J80" s="323">
        <v>3263372</v>
      </c>
      <c r="K80" s="410">
        <v>60000</v>
      </c>
      <c r="L80" s="431">
        <v>1123300</v>
      </c>
      <c r="M80" s="431">
        <v>32634</v>
      </c>
      <c r="N80" s="431">
        <v>0</v>
      </c>
      <c r="O80" s="748">
        <v>6.15</v>
      </c>
      <c r="P80" s="440">
        <f>W80*-1</f>
        <v>-40000</v>
      </c>
      <c r="Q80" s="325">
        <v>0</v>
      </c>
      <c r="R80" s="325">
        <v>0</v>
      </c>
      <c r="S80" s="325">
        <v>0</v>
      </c>
      <c r="T80" s="325">
        <v>0</v>
      </c>
      <c r="U80" s="325">
        <v>0</v>
      </c>
      <c r="V80" s="492">
        <f t="shared" si="194"/>
        <v>-40000</v>
      </c>
      <c r="W80" s="325">
        <v>40000</v>
      </c>
      <c r="X80" s="325">
        <v>0</v>
      </c>
      <c r="Y80" s="325">
        <v>0</v>
      </c>
      <c r="Z80" s="492">
        <f t="shared" si="195"/>
        <v>40000</v>
      </c>
      <c r="AA80" s="492">
        <f t="shared" si="196"/>
        <v>0</v>
      </c>
      <c r="AB80" s="494">
        <f t="shared" si="197"/>
        <v>0</v>
      </c>
      <c r="AC80" s="494">
        <f t="shared" si="198"/>
        <v>-400</v>
      </c>
      <c r="AD80" s="492">
        <v>0</v>
      </c>
      <c r="AE80" s="753">
        <f t="shared" si="199"/>
        <v>-400</v>
      </c>
      <c r="AF80" s="688">
        <v>0</v>
      </c>
      <c r="AG80" s="326">
        <v>0</v>
      </c>
      <c r="AH80" s="326">
        <v>0</v>
      </c>
      <c r="AI80" s="326">
        <v>0</v>
      </c>
      <c r="AJ80" s="326">
        <v>0</v>
      </c>
      <c r="AK80" s="326">
        <v>0</v>
      </c>
      <c r="AL80" s="609">
        <f t="shared" si="200"/>
        <v>0</v>
      </c>
      <c r="AM80" s="493">
        <f>I80+AE80</f>
        <v>4478906</v>
      </c>
      <c r="AN80" s="492">
        <f>J80+V80</f>
        <v>3223372</v>
      </c>
      <c r="AO80" s="573">
        <f t="shared" si="201"/>
        <v>100000</v>
      </c>
      <c r="AP80" s="492">
        <f t="shared" si="202"/>
        <v>1123300</v>
      </c>
      <c r="AQ80" s="492">
        <f t="shared" si="202"/>
        <v>32234</v>
      </c>
      <c r="AR80" s="573">
        <f t="shared" si="202"/>
        <v>0</v>
      </c>
      <c r="AS80" s="491">
        <f t="shared" si="203"/>
        <v>6.15</v>
      </c>
    </row>
    <row r="81" spans="1:45" s="152" customFormat="1" ht="12.75" customHeight="1" x14ac:dyDescent="0.2">
      <c r="A81" s="105">
        <v>22</v>
      </c>
      <c r="B81" s="12">
        <v>3412</v>
      </c>
      <c r="C81" s="104">
        <v>600078540</v>
      </c>
      <c r="D81" s="104">
        <v>72742879</v>
      </c>
      <c r="E81" s="153" t="s">
        <v>47</v>
      </c>
      <c r="F81" s="12"/>
      <c r="G81" s="153"/>
      <c r="H81" s="407"/>
      <c r="I81" s="746">
        <v>54506868</v>
      </c>
      <c r="J81" s="378">
        <v>40375806</v>
      </c>
      <c r="K81" s="378">
        <v>60000</v>
      </c>
      <c r="L81" s="378">
        <v>13667303</v>
      </c>
      <c r="M81" s="378">
        <v>403759</v>
      </c>
      <c r="N81" s="378">
        <v>0</v>
      </c>
      <c r="O81" s="340">
        <v>58.46</v>
      </c>
      <c r="P81" s="444">
        <f t="shared" ref="P81:AS81" si="204">SUM(P77:P80)</f>
        <v>-40000</v>
      </c>
      <c r="Q81" s="378">
        <f t="shared" si="204"/>
        <v>-181889</v>
      </c>
      <c r="R81" s="378">
        <f t="shared" si="204"/>
        <v>0</v>
      </c>
      <c r="S81" s="378">
        <f t="shared" si="204"/>
        <v>0</v>
      </c>
      <c r="T81" s="378">
        <f t="shared" si="204"/>
        <v>0</v>
      </c>
      <c r="U81" s="378">
        <f t="shared" si="204"/>
        <v>0</v>
      </c>
      <c r="V81" s="378">
        <f t="shared" si="204"/>
        <v>-221889</v>
      </c>
      <c r="W81" s="378">
        <f t="shared" si="204"/>
        <v>40000</v>
      </c>
      <c r="X81" s="378">
        <f t="shared" si="204"/>
        <v>0</v>
      </c>
      <c r="Y81" s="378">
        <f t="shared" si="204"/>
        <v>0</v>
      </c>
      <c r="Z81" s="378">
        <f t="shared" si="204"/>
        <v>40000</v>
      </c>
      <c r="AA81" s="378">
        <f t="shared" si="204"/>
        <v>-181889</v>
      </c>
      <c r="AB81" s="378">
        <f t="shared" si="204"/>
        <v>-61478</v>
      </c>
      <c r="AC81" s="378">
        <f t="shared" si="204"/>
        <v>-2219</v>
      </c>
      <c r="AD81" s="378">
        <f t="shared" si="204"/>
        <v>0</v>
      </c>
      <c r="AE81" s="752">
        <f t="shared" si="204"/>
        <v>-245586</v>
      </c>
      <c r="AF81" s="754">
        <f t="shared" si="204"/>
        <v>0</v>
      </c>
      <c r="AG81" s="398">
        <f t="shared" si="204"/>
        <v>-0.46</v>
      </c>
      <c r="AH81" s="398">
        <f t="shared" si="204"/>
        <v>0</v>
      </c>
      <c r="AI81" s="398">
        <f t="shared" si="204"/>
        <v>0</v>
      </c>
      <c r="AJ81" s="398">
        <f t="shared" si="204"/>
        <v>0</v>
      </c>
      <c r="AK81" s="398">
        <f t="shared" si="204"/>
        <v>0</v>
      </c>
      <c r="AL81" s="340">
        <f t="shared" si="204"/>
        <v>-0.46</v>
      </c>
      <c r="AM81" s="444">
        <f t="shared" si="204"/>
        <v>54261282</v>
      </c>
      <c r="AN81" s="378">
        <f t="shared" si="204"/>
        <v>40153917</v>
      </c>
      <c r="AO81" s="378">
        <f t="shared" si="204"/>
        <v>100000</v>
      </c>
      <c r="AP81" s="378">
        <f t="shared" si="204"/>
        <v>13605825</v>
      </c>
      <c r="AQ81" s="378">
        <f t="shared" si="204"/>
        <v>401540</v>
      </c>
      <c r="AR81" s="378">
        <f t="shared" si="204"/>
        <v>0</v>
      </c>
      <c r="AS81" s="398">
        <f t="shared" si="204"/>
        <v>58</v>
      </c>
    </row>
    <row r="82" spans="1:45" s="152" customFormat="1" ht="12" customHeight="1" x14ac:dyDescent="0.2">
      <c r="A82" s="154">
        <v>23</v>
      </c>
      <c r="B82" s="155">
        <v>3416</v>
      </c>
      <c r="C82" s="155">
        <v>600078426</v>
      </c>
      <c r="D82" s="155">
        <v>72743034</v>
      </c>
      <c r="E82" s="156" t="s">
        <v>48</v>
      </c>
      <c r="F82" s="155">
        <v>3113</v>
      </c>
      <c r="G82" s="156" t="s">
        <v>280</v>
      </c>
      <c r="H82" s="157" t="s">
        <v>262</v>
      </c>
      <c r="I82" s="610">
        <v>38457298</v>
      </c>
      <c r="J82" s="410">
        <v>28457686</v>
      </c>
      <c r="K82" s="410">
        <v>72000</v>
      </c>
      <c r="L82" s="431">
        <v>9643035</v>
      </c>
      <c r="M82" s="431">
        <v>284577</v>
      </c>
      <c r="N82" s="431">
        <v>0</v>
      </c>
      <c r="O82" s="747">
        <v>38.380000000000003</v>
      </c>
      <c r="P82" s="445">
        <f>W82*-1</f>
        <v>-48000</v>
      </c>
      <c r="Q82" s="325">
        <v>0</v>
      </c>
      <c r="R82" s="325">
        <v>0</v>
      </c>
      <c r="S82" s="325">
        <v>0</v>
      </c>
      <c r="T82" s="325">
        <v>0</v>
      </c>
      <c r="U82" s="325">
        <v>0</v>
      </c>
      <c r="V82" s="492">
        <f t="shared" ref="V82:V85" si="205">P82+Q82+R82+S82+T82+U82</f>
        <v>-48000</v>
      </c>
      <c r="W82" s="325">
        <v>48000</v>
      </c>
      <c r="X82" s="325">
        <v>0</v>
      </c>
      <c r="Y82" s="325">
        <v>0</v>
      </c>
      <c r="Z82" s="492">
        <f t="shared" ref="Z82:Z85" si="206">W82+X82+Y82</f>
        <v>48000</v>
      </c>
      <c r="AA82" s="492">
        <f t="shared" ref="AA82:AA85" si="207">V82+Z82</f>
        <v>0</v>
      </c>
      <c r="AB82" s="494">
        <f t="shared" ref="AB82:AB85" si="208">ROUND((V82+Z82)*33.8%,0)</f>
        <v>0</v>
      </c>
      <c r="AC82" s="494">
        <f t="shared" ref="AC82:AC85" si="209">ROUND(V82*1%,0)</f>
        <v>-480</v>
      </c>
      <c r="AD82" s="492">
        <v>0</v>
      </c>
      <c r="AE82" s="753">
        <f t="shared" ref="AE82:AE85" si="210">AA82+AB82+AC82+AD82</f>
        <v>-480</v>
      </c>
      <c r="AF82" s="688">
        <v>-0.08</v>
      </c>
      <c r="AG82" s="326">
        <v>0</v>
      </c>
      <c r="AH82" s="326">
        <v>0</v>
      </c>
      <c r="AI82" s="326">
        <v>0</v>
      </c>
      <c r="AJ82" s="326">
        <v>0</v>
      </c>
      <c r="AK82" s="326">
        <v>0</v>
      </c>
      <c r="AL82" s="609">
        <f t="shared" ref="AL82:AL85" si="211">SUM(AF82:AK82)</f>
        <v>-0.08</v>
      </c>
      <c r="AM82" s="493">
        <f>I82+AE82</f>
        <v>38456818</v>
      </c>
      <c r="AN82" s="492">
        <f>J82+V82</f>
        <v>28409686</v>
      </c>
      <c r="AO82" s="573">
        <f t="shared" ref="AO82:AO85" si="212">K82+Z82</f>
        <v>120000</v>
      </c>
      <c r="AP82" s="492">
        <f t="shared" ref="AP82:AR85" si="213">L82+AB82</f>
        <v>9643035</v>
      </c>
      <c r="AQ82" s="492">
        <f t="shared" si="213"/>
        <v>284097</v>
      </c>
      <c r="AR82" s="573">
        <f t="shared" si="213"/>
        <v>0</v>
      </c>
      <c r="AS82" s="491">
        <f t="shared" ref="AS82:AS85" si="214">O82+AL82</f>
        <v>38.300000000000004</v>
      </c>
    </row>
    <row r="83" spans="1:45" s="152" customFormat="1" ht="12" customHeight="1" x14ac:dyDescent="0.2">
      <c r="A83" s="154">
        <v>23</v>
      </c>
      <c r="B83" s="155">
        <v>3416</v>
      </c>
      <c r="C83" s="155">
        <v>600078426</v>
      </c>
      <c r="D83" s="155">
        <v>72743034</v>
      </c>
      <c r="E83" s="156" t="s">
        <v>48</v>
      </c>
      <c r="F83" s="155">
        <v>3113</v>
      </c>
      <c r="G83" s="156" t="s">
        <v>799</v>
      </c>
      <c r="H83" s="157" t="s">
        <v>262</v>
      </c>
      <c r="I83" s="610">
        <v>719330</v>
      </c>
      <c r="J83" s="410">
        <v>533628</v>
      </c>
      <c r="K83" s="410">
        <v>0</v>
      </c>
      <c r="L83" s="431">
        <v>180366</v>
      </c>
      <c r="M83" s="431">
        <v>5336</v>
      </c>
      <c r="N83" s="431">
        <v>0</v>
      </c>
      <c r="O83" s="747">
        <v>1</v>
      </c>
      <c r="P83" s="445">
        <f>W83*-1</f>
        <v>0</v>
      </c>
      <c r="Q83" s="325">
        <v>0</v>
      </c>
      <c r="R83" s="325">
        <v>0</v>
      </c>
      <c r="S83" s="325">
        <v>0</v>
      </c>
      <c r="T83" s="325">
        <v>0</v>
      </c>
      <c r="U83" s="325">
        <v>0</v>
      </c>
      <c r="V83" s="492">
        <f t="shared" si="205"/>
        <v>0</v>
      </c>
      <c r="W83" s="325">
        <v>0</v>
      </c>
      <c r="X83" s="325">
        <v>0</v>
      </c>
      <c r="Y83" s="325">
        <v>0</v>
      </c>
      <c r="Z83" s="492">
        <f t="shared" si="206"/>
        <v>0</v>
      </c>
      <c r="AA83" s="492">
        <f t="shared" si="207"/>
        <v>0</v>
      </c>
      <c r="AB83" s="494">
        <f t="shared" si="208"/>
        <v>0</v>
      </c>
      <c r="AC83" s="494">
        <f t="shared" si="209"/>
        <v>0</v>
      </c>
      <c r="AD83" s="492">
        <v>0</v>
      </c>
      <c r="AE83" s="753">
        <f t="shared" si="210"/>
        <v>0</v>
      </c>
      <c r="AF83" s="688">
        <v>0</v>
      </c>
      <c r="AG83" s="326">
        <v>0</v>
      </c>
      <c r="AH83" s="326">
        <v>0</v>
      </c>
      <c r="AI83" s="326">
        <v>0</v>
      </c>
      <c r="AJ83" s="326">
        <v>0</v>
      </c>
      <c r="AK83" s="326">
        <v>0</v>
      </c>
      <c r="AL83" s="609">
        <f t="shared" si="211"/>
        <v>0</v>
      </c>
      <c r="AM83" s="493">
        <f>I83+AE83</f>
        <v>719330</v>
      </c>
      <c r="AN83" s="492">
        <f>J83+V83</f>
        <v>533628</v>
      </c>
      <c r="AO83" s="573">
        <f t="shared" si="212"/>
        <v>0</v>
      </c>
      <c r="AP83" s="492">
        <f t="shared" si="213"/>
        <v>180366</v>
      </c>
      <c r="AQ83" s="492">
        <f t="shared" si="213"/>
        <v>5336</v>
      </c>
      <c r="AR83" s="573">
        <f t="shared" si="213"/>
        <v>0</v>
      </c>
      <c r="AS83" s="491">
        <f t="shared" si="214"/>
        <v>1</v>
      </c>
    </row>
    <row r="84" spans="1:45" s="152" customFormat="1" ht="12" customHeight="1" x14ac:dyDescent="0.2">
      <c r="A84" s="154">
        <v>23</v>
      </c>
      <c r="B84" s="155">
        <v>3416</v>
      </c>
      <c r="C84" s="155">
        <v>600078426</v>
      </c>
      <c r="D84" s="155">
        <v>72743034</v>
      </c>
      <c r="E84" s="156" t="s">
        <v>48</v>
      </c>
      <c r="F84" s="155">
        <v>3113</v>
      </c>
      <c r="G84" s="156" t="s">
        <v>278</v>
      </c>
      <c r="H84" s="157" t="s">
        <v>263</v>
      </c>
      <c r="I84" s="580">
        <v>6527467</v>
      </c>
      <c r="J84" s="323">
        <v>4842335</v>
      </c>
      <c r="K84" s="410">
        <v>0</v>
      </c>
      <c r="L84" s="431">
        <v>1636709</v>
      </c>
      <c r="M84" s="431">
        <v>48423</v>
      </c>
      <c r="N84" s="431">
        <v>0</v>
      </c>
      <c r="O84" s="748">
        <v>11.82</v>
      </c>
      <c r="P84" s="440">
        <f>W84*-1</f>
        <v>0</v>
      </c>
      <c r="Q84" s="325">
        <f>132452+223227</f>
        <v>355679</v>
      </c>
      <c r="R84" s="325">
        <v>0</v>
      </c>
      <c r="S84" s="325">
        <v>0</v>
      </c>
      <c r="T84" s="325">
        <v>0</v>
      </c>
      <c r="U84" s="325">
        <v>0</v>
      </c>
      <c r="V84" s="492">
        <f t="shared" si="205"/>
        <v>355679</v>
      </c>
      <c r="W84" s="325">
        <v>0</v>
      </c>
      <c r="X84" s="325">
        <v>0</v>
      </c>
      <c r="Y84" s="325">
        <v>0</v>
      </c>
      <c r="Z84" s="492">
        <f t="shared" si="206"/>
        <v>0</v>
      </c>
      <c r="AA84" s="492">
        <f t="shared" si="207"/>
        <v>355679</v>
      </c>
      <c r="AB84" s="494">
        <f t="shared" si="208"/>
        <v>120220</v>
      </c>
      <c r="AC84" s="494">
        <f t="shared" si="209"/>
        <v>3557</v>
      </c>
      <c r="AD84" s="492">
        <v>0</v>
      </c>
      <c r="AE84" s="753">
        <f t="shared" si="210"/>
        <v>479456</v>
      </c>
      <c r="AF84" s="688">
        <v>0</v>
      </c>
      <c r="AG84" s="326">
        <f>0.25+0.56</f>
        <v>0.81</v>
      </c>
      <c r="AH84" s="326">
        <v>0</v>
      </c>
      <c r="AI84" s="326">
        <v>0</v>
      </c>
      <c r="AJ84" s="326">
        <v>0</v>
      </c>
      <c r="AK84" s="326">
        <v>0</v>
      </c>
      <c r="AL84" s="609">
        <f t="shared" si="211"/>
        <v>0.81</v>
      </c>
      <c r="AM84" s="493">
        <f>I84+AE84</f>
        <v>7006923</v>
      </c>
      <c r="AN84" s="492">
        <f>J84+V84</f>
        <v>5198014</v>
      </c>
      <c r="AO84" s="573">
        <f t="shared" si="212"/>
        <v>0</v>
      </c>
      <c r="AP84" s="492">
        <f t="shared" si="213"/>
        <v>1756929</v>
      </c>
      <c r="AQ84" s="492">
        <f t="shared" si="213"/>
        <v>51980</v>
      </c>
      <c r="AR84" s="573">
        <f t="shared" si="213"/>
        <v>0</v>
      </c>
      <c r="AS84" s="491">
        <f t="shared" si="214"/>
        <v>12.63</v>
      </c>
    </row>
    <row r="85" spans="1:45" s="152" customFormat="1" ht="12.75" customHeight="1" x14ac:dyDescent="0.2">
      <c r="A85" s="154">
        <v>23</v>
      </c>
      <c r="B85" s="155">
        <v>3416</v>
      </c>
      <c r="C85" s="155">
        <v>600078426</v>
      </c>
      <c r="D85" s="155">
        <v>72743034</v>
      </c>
      <c r="E85" s="156" t="s">
        <v>48</v>
      </c>
      <c r="F85" s="155">
        <v>3143</v>
      </c>
      <c r="G85" s="156" t="s">
        <v>794</v>
      </c>
      <c r="H85" s="157" t="s">
        <v>262</v>
      </c>
      <c r="I85" s="580">
        <v>4225256</v>
      </c>
      <c r="J85" s="323">
        <v>3134463</v>
      </c>
      <c r="K85" s="410">
        <v>0</v>
      </c>
      <c r="L85" s="431">
        <v>1059448</v>
      </c>
      <c r="M85" s="431">
        <v>31345</v>
      </c>
      <c r="N85" s="431">
        <v>0</v>
      </c>
      <c r="O85" s="748">
        <v>5.69</v>
      </c>
      <c r="P85" s="440">
        <f>W85*-1</f>
        <v>0</v>
      </c>
      <c r="Q85" s="325">
        <v>0</v>
      </c>
      <c r="R85" s="325">
        <v>0</v>
      </c>
      <c r="S85" s="325">
        <v>0</v>
      </c>
      <c r="T85" s="325">
        <v>0</v>
      </c>
      <c r="U85" s="325">
        <v>0</v>
      </c>
      <c r="V85" s="492">
        <f t="shared" si="205"/>
        <v>0</v>
      </c>
      <c r="W85" s="325">
        <v>0</v>
      </c>
      <c r="X85" s="325">
        <v>0</v>
      </c>
      <c r="Y85" s="325">
        <v>0</v>
      </c>
      <c r="Z85" s="492">
        <f t="shared" si="206"/>
        <v>0</v>
      </c>
      <c r="AA85" s="492">
        <f t="shared" si="207"/>
        <v>0</v>
      </c>
      <c r="AB85" s="494">
        <f t="shared" si="208"/>
        <v>0</v>
      </c>
      <c r="AC85" s="494">
        <f t="shared" si="209"/>
        <v>0</v>
      </c>
      <c r="AD85" s="492">
        <v>0</v>
      </c>
      <c r="AE85" s="753">
        <f t="shared" si="210"/>
        <v>0</v>
      </c>
      <c r="AF85" s="688">
        <v>0</v>
      </c>
      <c r="AG85" s="326">
        <v>0</v>
      </c>
      <c r="AH85" s="326">
        <v>0</v>
      </c>
      <c r="AI85" s="326">
        <v>0</v>
      </c>
      <c r="AJ85" s="326">
        <v>0</v>
      </c>
      <c r="AK85" s="326">
        <v>0</v>
      </c>
      <c r="AL85" s="609">
        <f t="shared" si="211"/>
        <v>0</v>
      </c>
      <c r="AM85" s="493">
        <f>I85+AE85</f>
        <v>4225256</v>
      </c>
      <c r="AN85" s="492">
        <f>J85+V85</f>
        <v>3134463</v>
      </c>
      <c r="AO85" s="573">
        <f t="shared" si="212"/>
        <v>0</v>
      </c>
      <c r="AP85" s="492">
        <f t="shared" si="213"/>
        <v>1059448</v>
      </c>
      <c r="AQ85" s="492">
        <f t="shared" si="213"/>
        <v>31345</v>
      </c>
      <c r="AR85" s="573">
        <f t="shared" si="213"/>
        <v>0</v>
      </c>
      <c r="AS85" s="491">
        <f t="shared" si="214"/>
        <v>5.69</v>
      </c>
    </row>
    <row r="86" spans="1:45" s="152" customFormat="1" ht="12.75" customHeight="1" x14ac:dyDescent="0.2">
      <c r="A86" s="105">
        <v>23</v>
      </c>
      <c r="B86" s="12">
        <v>3416</v>
      </c>
      <c r="C86" s="104">
        <v>600078426</v>
      </c>
      <c r="D86" s="104">
        <v>72743034</v>
      </c>
      <c r="E86" s="153" t="s">
        <v>49</v>
      </c>
      <c r="F86" s="12"/>
      <c r="G86" s="153"/>
      <c r="H86" s="407"/>
      <c r="I86" s="746">
        <v>49929351</v>
      </c>
      <c r="J86" s="378">
        <v>36968112</v>
      </c>
      <c r="K86" s="378">
        <v>72000</v>
      </c>
      <c r="L86" s="378">
        <v>12519558</v>
      </c>
      <c r="M86" s="378">
        <v>369681</v>
      </c>
      <c r="N86" s="378">
        <v>0</v>
      </c>
      <c r="O86" s="340">
        <v>56.89</v>
      </c>
      <c r="P86" s="444">
        <f t="shared" ref="P86:AS86" si="215">SUM(P82:P85)</f>
        <v>-48000</v>
      </c>
      <c r="Q86" s="378">
        <f t="shared" si="215"/>
        <v>355679</v>
      </c>
      <c r="R86" s="378">
        <f t="shared" si="215"/>
        <v>0</v>
      </c>
      <c r="S86" s="378">
        <f t="shared" si="215"/>
        <v>0</v>
      </c>
      <c r="T86" s="378">
        <f t="shared" si="215"/>
        <v>0</v>
      </c>
      <c r="U86" s="378">
        <f t="shared" si="215"/>
        <v>0</v>
      </c>
      <c r="V86" s="378">
        <f t="shared" si="215"/>
        <v>307679</v>
      </c>
      <c r="W86" s="378">
        <f t="shared" si="215"/>
        <v>48000</v>
      </c>
      <c r="X86" s="378">
        <f t="shared" si="215"/>
        <v>0</v>
      </c>
      <c r="Y86" s="378">
        <f t="shared" si="215"/>
        <v>0</v>
      </c>
      <c r="Z86" s="378">
        <f t="shared" si="215"/>
        <v>48000</v>
      </c>
      <c r="AA86" s="378">
        <f t="shared" si="215"/>
        <v>355679</v>
      </c>
      <c r="AB86" s="378">
        <f t="shared" si="215"/>
        <v>120220</v>
      </c>
      <c r="AC86" s="378">
        <f t="shared" si="215"/>
        <v>3077</v>
      </c>
      <c r="AD86" s="378">
        <f t="shared" si="215"/>
        <v>0</v>
      </c>
      <c r="AE86" s="752">
        <f t="shared" si="215"/>
        <v>478976</v>
      </c>
      <c r="AF86" s="754">
        <f t="shared" si="215"/>
        <v>-0.08</v>
      </c>
      <c r="AG86" s="398">
        <f t="shared" si="215"/>
        <v>0.81</v>
      </c>
      <c r="AH86" s="398">
        <f t="shared" si="215"/>
        <v>0</v>
      </c>
      <c r="AI86" s="398">
        <f t="shared" si="215"/>
        <v>0</v>
      </c>
      <c r="AJ86" s="398">
        <f t="shared" si="215"/>
        <v>0</v>
      </c>
      <c r="AK86" s="398">
        <f t="shared" si="215"/>
        <v>0</v>
      </c>
      <c r="AL86" s="340">
        <f t="shared" si="215"/>
        <v>0.73000000000000009</v>
      </c>
      <c r="AM86" s="444">
        <f t="shared" si="215"/>
        <v>50408327</v>
      </c>
      <c r="AN86" s="378">
        <f t="shared" si="215"/>
        <v>37275791</v>
      </c>
      <c r="AO86" s="378">
        <f t="shared" si="215"/>
        <v>120000</v>
      </c>
      <c r="AP86" s="378">
        <f t="shared" si="215"/>
        <v>12639778</v>
      </c>
      <c r="AQ86" s="378">
        <f t="shared" si="215"/>
        <v>372758</v>
      </c>
      <c r="AR86" s="378">
        <f t="shared" si="215"/>
        <v>0</v>
      </c>
      <c r="AS86" s="398">
        <f t="shared" si="215"/>
        <v>57.620000000000005</v>
      </c>
    </row>
    <row r="87" spans="1:45" s="152" customFormat="1" ht="12.75" customHeight="1" x14ac:dyDescent="0.2">
      <c r="A87" s="154">
        <v>24</v>
      </c>
      <c r="B87" s="155">
        <v>3414</v>
      </c>
      <c r="C87" s="155">
        <v>600078388</v>
      </c>
      <c r="D87" s="155">
        <v>43257721</v>
      </c>
      <c r="E87" s="156" t="s">
        <v>50</v>
      </c>
      <c r="F87" s="155">
        <v>3113</v>
      </c>
      <c r="G87" s="156" t="s">
        <v>280</v>
      </c>
      <c r="H87" s="157" t="s">
        <v>262</v>
      </c>
      <c r="I87" s="610">
        <v>36727122</v>
      </c>
      <c r="J87" s="410">
        <v>27221817</v>
      </c>
      <c r="K87" s="410">
        <v>24000</v>
      </c>
      <c r="L87" s="431">
        <v>9209086</v>
      </c>
      <c r="M87" s="431">
        <v>272219</v>
      </c>
      <c r="N87" s="431">
        <v>0</v>
      </c>
      <c r="O87" s="747">
        <v>36.410000000000004</v>
      </c>
      <c r="P87" s="445">
        <f>W87*-1</f>
        <v>-16000</v>
      </c>
      <c r="Q87" s="325">
        <v>0</v>
      </c>
      <c r="R87" s="325">
        <v>0</v>
      </c>
      <c r="S87" s="325">
        <v>0</v>
      </c>
      <c r="T87" s="325">
        <v>0</v>
      </c>
      <c r="U87" s="325">
        <v>0</v>
      </c>
      <c r="V87" s="492">
        <f t="shared" ref="V87:V90" si="216">P87+Q87+R87+S87+T87+U87</f>
        <v>-16000</v>
      </c>
      <c r="W87" s="325">
        <v>16000</v>
      </c>
      <c r="X87" s="325">
        <v>0</v>
      </c>
      <c r="Y87" s="325">
        <v>0</v>
      </c>
      <c r="Z87" s="492">
        <f t="shared" ref="Z87:Z90" si="217">W87+X87+Y87</f>
        <v>16000</v>
      </c>
      <c r="AA87" s="492">
        <f t="shared" ref="AA87:AA90" si="218">V87+Z87</f>
        <v>0</v>
      </c>
      <c r="AB87" s="494">
        <f t="shared" ref="AB87:AB90" si="219">ROUND((V87+Z87)*33.8%,0)</f>
        <v>0</v>
      </c>
      <c r="AC87" s="494">
        <f t="shared" ref="AC87:AC90" si="220">ROUND(V87*1%,0)</f>
        <v>-160</v>
      </c>
      <c r="AD87" s="492">
        <v>0</v>
      </c>
      <c r="AE87" s="753">
        <f t="shared" ref="AE87:AE90" si="221">AA87+AB87+AC87+AD87</f>
        <v>-160</v>
      </c>
      <c r="AF87" s="688">
        <v>-0.03</v>
      </c>
      <c r="AG87" s="326">
        <v>0</v>
      </c>
      <c r="AH87" s="326">
        <v>0</v>
      </c>
      <c r="AI87" s="326">
        <v>0</v>
      </c>
      <c r="AJ87" s="326">
        <v>0</v>
      </c>
      <c r="AK87" s="326">
        <v>0</v>
      </c>
      <c r="AL87" s="609">
        <f t="shared" ref="AL87:AL90" si="222">SUM(AF87:AK87)</f>
        <v>-0.03</v>
      </c>
      <c r="AM87" s="493">
        <f>I87+AE87</f>
        <v>36726962</v>
      </c>
      <c r="AN87" s="492">
        <f>J87+V87</f>
        <v>27205817</v>
      </c>
      <c r="AO87" s="573">
        <f t="shared" ref="AO87:AO90" si="223">K87+Z87</f>
        <v>40000</v>
      </c>
      <c r="AP87" s="492">
        <f t="shared" ref="AP87:AR90" si="224">L87+AB87</f>
        <v>9209086</v>
      </c>
      <c r="AQ87" s="492">
        <f t="shared" si="224"/>
        <v>272059</v>
      </c>
      <c r="AR87" s="573">
        <f t="shared" si="224"/>
        <v>0</v>
      </c>
      <c r="AS87" s="491">
        <f t="shared" ref="AS87:AS90" si="225">O87+AL87</f>
        <v>36.380000000000003</v>
      </c>
    </row>
    <row r="88" spans="1:45" s="152" customFormat="1" ht="12.75" customHeight="1" x14ac:dyDescent="0.2">
      <c r="A88" s="154">
        <v>24</v>
      </c>
      <c r="B88" s="155">
        <v>3414</v>
      </c>
      <c r="C88" s="155">
        <v>600078388</v>
      </c>
      <c r="D88" s="155">
        <v>43257721</v>
      </c>
      <c r="E88" s="156" t="s">
        <v>50</v>
      </c>
      <c r="F88" s="155">
        <v>3113</v>
      </c>
      <c r="G88" s="156" t="s">
        <v>799</v>
      </c>
      <c r="H88" s="157" t="s">
        <v>262</v>
      </c>
      <c r="I88" s="610">
        <v>740198</v>
      </c>
      <c r="J88" s="410">
        <v>549108</v>
      </c>
      <c r="K88" s="410">
        <v>0</v>
      </c>
      <c r="L88" s="431">
        <v>185599</v>
      </c>
      <c r="M88" s="431">
        <v>5491</v>
      </c>
      <c r="N88" s="431">
        <v>0</v>
      </c>
      <c r="O88" s="747">
        <v>1</v>
      </c>
      <c r="P88" s="445">
        <f>W88*-1</f>
        <v>0</v>
      </c>
      <c r="Q88" s="325">
        <v>0</v>
      </c>
      <c r="R88" s="325">
        <v>0</v>
      </c>
      <c r="S88" s="325">
        <v>0</v>
      </c>
      <c r="T88" s="325">
        <v>0</v>
      </c>
      <c r="U88" s="325">
        <v>0</v>
      </c>
      <c r="V88" s="492">
        <f t="shared" si="216"/>
        <v>0</v>
      </c>
      <c r="W88" s="325">
        <v>0</v>
      </c>
      <c r="X88" s="325">
        <v>0</v>
      </c>
      <c r="Y88" s="325">
        <v>0</v>
      </c>
      <c r="Z88" s="492">
        <f t="shared" si="217"/>
        <v>0</v>
      </c>
      <c r="AA88" s="492">
        <f t="shared" si="218"/>
        <v>0</v>
      </c>
      <c r="AB88" s="494">
        <f t="shared" si="219"/>
        <v>0</v>
      </c>
      <c r="AC88" s="494">
        <f t="shared" si="220"/>
        <v>0</v>
      </c>
      <c r="AD88" s="492">
        <v>0</v>
      </c>
      <c r="AE88" s="753">
        <f t="shared" si="221"/>
        <v>0</v>
      </c>
      <c r="AF88" s="688">
        <v>0</v>
      </c>
      <c r="AG88" s="326">
        <v>0</v>
      </c>
      <c r="AH88" s="326">
        <v>0</v>
      </c>
      <c r="AI88" s="326">
        <v>0</v>
      </c>
      <c r="AJ88" s="326">
        <v>0</v>
      </c>
      <c r="AK88" s="326">
        <v>0</v>
      </c>
      <c r="AL88" s="609">
        <f t="shared" si="222"/>
        <v>0</v>
      </c>
      <c r="AM88" s="493">
        <f>I88+AE88</f>
        <v>740198</v>
      </c>
      <c r="AN88" s="492">
        <f>J88+V88</f>
        <v>549108</v>
      </c>
      <c r="AO88" s="573">
        <f t="shared" si="223"/>
        <v>0</v>
      </c>
      <c r="AP88" s="492">
        <f t="shared" si="224"/>
        <v>185599</v>
      </c>
      <c r="AQ88" s="492">
        <f t="shared" si="224"/>
        <v>5491</v>
      </c>
      <c r="AR88" s="573">
        <f t="shared" si="224"/>
        <v>0</v>
      </c>
      <c r="AS88" s="491">
        <f t="shared" si="225"/>
        <v>1</v>
      </c>
    </row>
    <row r="89" spans="1:45" s="152" customFormat="1" x14ac:dyDescent="0.2">
      <c r="A89" s="154">
        <v>24</v>
      </c>
      <c r="B89" s="155">
        <v>3414</v>
      </c>
      <c r="C89" s="155">
        <v>600078388</v>
      </c>
      <c r="D89" s="155">
        <v>43257721</v>
      </c>
      <c r="E89" s="156" t="s">
        <v>50</v>
      </c>
      <c r="F89" s="155">
        <v>3113</v>
      </c>
      <c r="G89" s="156" t="s">
        <v>278</v>
      </c>
      <c r="H89" s="157" t="s">
        <v>263</v>
      </c>
      <c r="I89" s="580">
        <v>5267032</v>
      </c>
      <c r="J89" s="323">
        <v>3907294</v>
      </c>
      <c r="K89" s="410">
        <v>0</v>
      </c>
      <c r="L89" s="431">
        <v>1320665</v>
      </c>
      <c r="M89" s="431">
        <v>39073</v>
      </c>
      <c r="N89" s="431">
        <v>0</v>
      </c>
      <c r="O89" s="748">
        <v>9.58</v>
      </c>
      <c r="P89" s="440">
        <f>W89*-1</f>
        <v>0</v>
      </c>
      <c r="Q89" s="325">
        <f>150900-36742</f>
        <v>114158</v>
      </c>
      <c r="R89" s="325">
        <v>0</v>
      </c>
      <c r="S89" s="325">
        <v>0</v>
      </c>
      <c r="T89" s="325">
        <v>0</v>
      </c>
      <c r="U89" s="325">
        <v>0</v>
      </c>
      <c r="V89" s="492">
        <f t="shared" si="216"/>
        <v>114158</v>
      </c>
      <c r="W89" s="325">
        <v>0</v>
      </c>
      <c r="X89" s="325">
        <v>0</v>
      </c>
      <c r="Y89" s="325">
        <v>0</v>
      </c>
      <c r="Z89" s="492">
        <f t="shared" si="217"/>
        <v>0</v>
      </c>
      <c r="AA89" s="492">
        <f t="shared" si="218"/>
        <v>114158</v>
      </c>
      <c r="AB89" s="494">
        <f t="shared" si="219"/>
        <v>38585</v>
      </c>
      <c r="AC89" s="494">
        <f t="shared" si="220"/>
        <v>1142</v>
      </c>
      <c r="AD89" s="492">
        <v>0</v>
      </c>
      <c r="AE89" s="753">
        <f t="shared" si="221"/>
        <v>153885</v>
      </c>
      <c r="AF89" s="688">
        <v>0</v>
      </c>
      <c r="AG89" s="326">
        <f>0.45-0.1</f>
        <v>0.35</v>
      </c>
      <c r="AH89" s="326">
        <v>0</v>
      </c>
      <c r="AI89" s="326">
        <v>0</v>
      </c>
      <c r="AJ89" s="326">
        <v>0</v>
      </c>
      <c r="AK89" s="326">
        <v>0</v>
      </c>
      <c r="AL89" s="609">
        <f t="shared" si="222"/>
        <v>0.35</v>
      </c>
      <c r="AM89" s="493">
        <f>I89+AE89</f>
        <v>5420917</v>
      </c>
      <c r="AN89" s="492">
        <f>J89+V89</f>
        <v>4021452</v>
      </c>
      <c r="AO89" s="573">
        <f t="shared" si="223"/>
        <v>0</v>
      </c>
      <c r="AP89" s="492">
        <f t="shared" si="224"/>
        <v>1359250</v>
      </c>
      <c r="AQ89" s="492">
        <f t="shared" si="224"/>
        <v>40215</v>
      </c>
      <c r="AR89" s="573">
        <f t="shared" si="224"/>
        <v>0</v>
      </c>
      <c r="AS89" s="491">
        <f t="shared" si="225"/>
        <v>9.93</v>
      </c>
    </row>
    <row r="90" spans="1:45" s="152" customFormat="1" ht="12.75" customHeight="1" x14ac:dyDescent="0.2">
      <c r="A90" s="154">
        <v>24</v>
      </c>
      <c r="B90" s="155">
        <v>3414</v>
      </c>
      <c r="C90" s="155">
        <v>600078388</v>
      </c>
      <c r="D90" s="155">
        <v>43257721</v>
      </c>
      <c r="E90" s="156" t="s">
        <v>50</v>
      </c>
      <c r="F90" s="155">
        <v>3143</v>
      </c>
      <c r="G90" s="156" t="s">
        <v>794</v>
      </c>
      <c r="H90" s="157" t="s">
        <v>262</v>
      </c>
      <c r="I90" s="580">
        <v>4103236</v>
      </c>
      <c r="J90" s="323">
        <v>3043944</v>
      </c>
      <c r="K90" s="410">
        <v>0</v>
      </c>
      <c r="L90" s="431">
        <v>1028853</v>
      </c>
      <c r="M90" s="431">
        <v>30439</v>
      </c>
      <c r="N90" s="431">
        <v>0</v>
      </c>
      <c r="O90" s="748">
        <v>5.54</v>
      </c>
      <c r="P90" s="440">
        <f>W90*-1</f>
        <v>0</v>
      </c>
      <c r="Q90" s="325">
        <v>0</v>
      </c>
      <c r="R90" s="325">
        <v>0</v>
      </c>
      <c r="S90" s="325">
        <v>0</v>
      </c>
      <c r="T90" s="325">
        <v>0</v>
      </c>
      <c r="U90" s="325">
        <v>0</v>
      </c>
      <c r="V90" s="492">
        <f t="shared" si="216"/>
        <v>0</v>
      </c>
      <c r="W90" s="325">
        <v>0</v>
      </c>
      <c r="X90" s="325">
        <v>0</v>
      </c>
      <c r="Y90" s="325">
        <v>0</v>
      </c>
      <c r="Z90" s="492">
        <f t="shared" si="217"/>
        <v>0</v>
      </c>
      <c r="AA90" s="492">
        <f t="shared" si="218"/>
        <v>0</v>
      </c>
      <c r="AB90" s="494">
        <f t="shared" si="219"/>
        <v>0</v>
      </c>
      <c r="AC90" s="494">
        <f t="shared" si="220"/>
        <v>0</v>
      </c>
      <c r="AD90" s="492">
        <v>0</v>
      </c>
      <c r="AE90" s="753">
        <f t="shared" si="221"/>
        <v>0</v>
      </c>
      <c r="AF90" s="688">
        <v>0</v>
      </c>
      <c r="AG90" s="326">
        <v>0</v>
      </c>
      <c r="AH90" s="326">
        <v>0</v>
      </c>
      <c r="AI90" s="326">
        <v>0</v>
      </c>
      <c r="AJ90" s="326">
        <v>0</v>
      </c>
      <c r="AK90" s="326">
        <v>0</v>
      </c>
      <c r="AL90" s="609">
        <f t="shared" si="222"/>
        <v>0</v>
      </c>
      <c r="AM90" s="493">
        <f>I90+AE90</f>
        <v>4103236</v>
      </c>
      <c r="AN90" s="492">
        <f>J90+V90</f>
        <v>3043944</v>
      </c>
      <c r="AO90" s="573">
        <f t="shared" si="223"/>
        <v>0</v>
      </c>
      <c r="AP90" s="492">
        <f t="shared" si="224"/>
        <v>1028853</v>
      </c>
      <c r="AQ90" s="492">
        <f t="shared" si="224"/>
        <v>30439</v>
      </c>
      <c r="AR90" s="573">
        <f t="shared" si="224"/>
        <v>0</v>
      </c>
      <c r="AS90" s="491">
        <f t="shared" si="225"/>
        <v>5.54</v>
      </c>
    </row>
    <row r="91" spans="1:45" s="152" customFormat="1" ht="12.75" customHeight="1" x14ac:dyDescent="0.2">
      <c r="A91" s="105">
        <v>24</v>
      </c>
      <c r="B91" s="12">
        <v>3414</v>
      </c>
      <c r="C91" s="104">
        <v>600078388</v>
      </c>
      <c r="D91" s="104">
        <v>43257721</v>
      </c>
      <c r="E91" s="153" t="s">
        <v>51</v>
      </c>
      <c r="F91" s="12"/>
      <c r="G91" s="153"/>
      <c r="H91" s="407"/>
      <c r="I91" s="746">
        <v>46837588</v>
      </c>
      <c r="J91" s="378">
        <v>34722163</v>
      </c>
      <c r="K91" s="378">
        <v>24000</v>
      </c>
      <c r="L91" s="378">
        <v>11744203</v>
      </c>
      <c r="M91" s="378">
        <v>347222</v>
      </c>
      <c r="N91" s="378">
        <v>0</v>
      </c>
      <c r="O91" s="340">
        <v>52.53</v>
      </c>
      <c r="P91" s="444">
        <f t="shared" ref="P91:AS91" si="226">SUM(P87:P90)</f>
        <v>-16000</v>
      </c>
      <c r="Q91" s="378">
        <f t="shared" si="226"/>
        <v>114158</v>
      </c>
      <c r="R91" s="378">
        <f t="shared" si="226"/>
        <v>0</v>
      </c>
      <c r="S91" s="378">
        <f t="shared" si="226"/>
        <v>0</v>
      </c>
      <c r="T91" s="378">
        <f t="shared" si="226"/>
        <v>0</v>
      </c>
      <c r="U91" s="378">
        <f t="shared" si="226"/>
        <v>0</v>
      </c>
      <c r="V91" s="378">
        <f t="shared" si="226"/>
        <v>98158</v>
      </c>
      <c r="W91" s="378">
        <f t="shared" si="226"/>
        <v>16000</v>
      </c>
      <c r="X91" s="378">
        <f t="shared" si="226"/>
        <v>0</v>
      </c>
      <c r="Y91" s="378">
        <f t="shared" si="226"/>
        <v>0</v>
      </c>
      <c r="Z91" s="378">
        <f t="shared" si="226"/>
        <v>16000</v>
      </c>
      <c r="AA91" s="378">
        <f t="shared" si="226"/>
        <v>114158</v>
      </c>
      <c r="AB91" s="378">
        <f t="shared" si="226"/>
        <v>38585</v>
      </c>
      <c r="AC91" s="378">
        <f t="shared" si="226"/>
        <v>982</v>
      </c>
      <c r="AD91" s="378">
        <f t="shared" si="226"/>
        <v>0</v>
      </c>
      <c r="AE91" s="752">
        <f t="shared" si="226"/>
        <v>153725</v>
      </c>
      <c r="AF91" s="754">
        <f t="shared" si="226"/>
        <v>-0.03</v>
      </c>
      <c r="AG91" s="398">
        <f t="shared" si="226"/>
        <v>0.35</v>
      </c>
      <c r="AH91" s="398">
        <f t="shared" si="226"/>
        <v>0</v>
      </c>
      <c r="AI91" s="398">
        <f t="shared" si="226"/>
        <v>0</v>
      </c>
      <c r="AJ91" s="398">
        <f t="shared" si="226"/>
        <v>0</v>
      </c>
      <c r="AK91" s="398">
        <f t="shared" si="226"/>
        <v>0</v>
      </c>
      <c r="AL91" s="340">
        <f t="shared" si="226"/>
        <v>0.31999999999999995</v>
      </c>
      <c r="AM91" s="444">
        <f t="shared" si="226"/>
        <v>46991313</v>
      </c>
      <c r="AN91" s="378">
        <f t="shared" si="226"/>
        <v>34820321</v>
      </c>
      <c r="AO91" s="378">
        <f t="shared" si="226"/>
        <v>40000</v>
      </c>
      <c r="AP91" s="378">
        <f t="shared" si="226"/>
        <v>11782788</v>
      </c>
      <c r="AQ91" s="378">
        <f t="shared" si="226"/>
        <v>348204</v>
      </c>
      <c r="AR91" s="378">
        <f t="shared" si="226"/>
        <v>0</v>
      </c>
      <c r="AS91" s="398">
        <f t="shared" si="226"/>
        <v>52.85</v>
      </c>
    </row>
    <row r="92" spans="1:45" s="152" customFormat="1" ht="12.75" customHeight="1" x14ac:dyDescent="0.2">
      <c r="A92" s="154">
        <v>25</v>
      </c>
      <c r="B92" s="155">
        <v>3411</v>
      </c>
      <c r="C92" s="155">
        <v>600078400</v>
      </c>
      <c r="D92" s="155">
        <v>72742950</v>
      </c>
      <c r="E92" s="156" t="s">
        <v>52</v>
      </c>
      <c r="F92" s="155">
        <v>3113</v>
      </c>
      <c r="G92" s="156" t="s">
        <v>280</v>
      </c>
      <c r="H92" s="157" t="s">
        <v>262</v>
      </c>
      <c r="I92" s="610">
        <v>36434795</v>
      </c>
      <c r="J92" s="410">
        <v>27028780</v>
      </c>
      <c r="K92" s="410">
        <v>0</v>
      </c>
      <c r="L92" s="431">
        <v>9135727</v>
      </c>
      <c r="M92" s="431">
        <v>270288</v>
      </c>
      <c r="N92" s="431">
        <v>0</v>
      </c>
      <c r="O92" s="747">
        <v>35.67</v>
      </c>
      <c r="P92" s="445">
        <f>W92*-1</f>
        <v>0</v>
      </c>
      <c r="Q92" s="325">
        <v>0</v>
      </c>
      <c r="R92" s="325">
        <v>0</v>
      </c>
      <c r="S92" s="325">
        <v>0</v>
      </c>
      <c r="T92" s="325">
        <v>0</v>
      </c>
      <c r="U92" s="325">
        <v>0</v>
      </c>
      <c r="V92" s="492">
        <f t="shared" ref="V92:V95" si="227">P92+Q92+R92+S92+T92+U92</f>
        <v>0</v>
      </c>
      <c r="W92" s="325">
        <v>0</v>
      </c>
      <c r="X92" s="325">
        <v>0</v>
      </c>
      <c r="Y92" s="325">
        <v>0</v>
      </c>
      <c r="Z92" s="492">
        <f t="shared" ref="Z92:Z95" si="228">W92+X92+Y92</f>
        <v>0</v>
      </c>
      <c r="AA92" s="492">
        <f t="shared" ref="AA92:AA95" si="229">V92+Z92</f>
        <v>0</v>
      </c>
      <c r="AB92" s="494">
        <f t="shared" ref="AB92:AB95" si="230">ROUND((V92+Z92)*33.8%,0)</f>
        <v>0</v>
      </c>
      <c r="AC92" s="494">
        <f t="shared" ref="AC92:AC95" si="231">ROUND(V92*1%,0)</f>
        <v>0</v>
      </c>
      <c r="AD92" s="492">
        <v>0</v>
      </c>
      <c r="AE92" s="753">
        <f t="shared" ref="AE92:AE95" si="232">AA92+AB92+AC92+AD92</f>
        <v>0</v>
      </c>
      <c r="AF92" s="688">
        <v>0</v>
      </c>
      <c r="AG92" s="326">
        <v>0</v>
      </c>
      <c r="AH92" s="326">
        <v>0</v>
      </c>
      <c r="AI92" s="326">
        <v>0</v>
      </c>
      <c r="AJ92" s="326">
        <v>0</v>
      </c>
      <c r="AK92" s="326">
        <v>0</v>
      </c>
      <c r="AL92" s="609">
        <f t="shared" ref="AL92:AL95" si="233">SUM(AF92:AK92)</f>
        <v>0</v>
      </c>
      <c r="AM92" s="493">
        <f>I92+AE92</f>
        <v>36434795</v>
      </c>
      <c r="AN92" s="492">
        <f>J92+V92</f>
        <v>27028780</v>
      </c>
      <c r="AO92" s="573">
        <f t="shared" ref="AO92:AO95" si="234">K92+Z92</f>
        <v>0</v>
      </c>
      <c r="AP92" s="492">
        <f t="shared" ref="AP92:AR95" si="235">L92+AB92</f>
        <v>9135727</v>
      </c>
      <c r="AQ92" s="492">
        <f t="shared" si="235"/>
        <v>270288</v>
      </c>
      <c r="AR92" s="573">
        <f t="shared" si="235"/>
        <v>0</v>
      </c>
      <c r="AS92" s="491">
        <f t="shared" ref="AS92:AS95" si="236">O92+AL92</f>
        <v>35.67</v>
      </c>
    </row>
    <row r="93" spans="1:45" s="152" customFormat="1" ht="12.75" customHeight="1" x14ac:dyDescent="0.2">
      <c r="A93" s="154">
        <v>25</v>
      </c>
      <c r="B93" s="155">
        <v>3411</v>
      </c>
      <c r="C93" s="155">
        <v>600078400</v>
      </c>
      <c r="D93" s="155">
        <v>72742950</v>
      </c>
      <c r="E93" s="156" t="s">
        <v>52</v>
      </c>
      <c r="F93" s="155">
        <v>3113</v>
      </c>
      <c r="G93" s="156" t="s">
        <v>799</v>
      </c>
      <c r="H93" s="157" t="s">
        <v>262</v>
      </c>
      <c r="I93" s="610">
        <v>765918</v>
      </c>
      <c r="J93" s="410">
        <v>568188</v>
      </c>
      <c r="K93" s="410">
        <v>0</v>
      </c>
      <c r="L93" s="431">
        <v>192048</v>
      </c>
      <c r="M93" s="431">
        <v>5682</v>
      </c>
      <c r="N93" s="431">
        <v>0</v>
      </c>
      <c r="O93" s="747">
        <v>1</v>
      </c>
      <c r="P93" s="445">
        <f>W93*-1</f>
        <v>0</v>
      </c>
      <c r="Q93" s="325">
        <v>0</v>
      </c>
      <c r="R93" s="325">
        <v>0</v>
      </c>
      <c r="S93" s="325">
        <v>0</v>
      </c>
      <c r="T93" s="325">
        <v>0</v>
      </c>
      <c r="U93" s="325">
        <v>0</v>
      </c>
      <c r="V93" s="492">
        <f t="shared" si="227"/>
        <v>0</v>
      </c>
      <c r="W93" s="325">
        <v>0</v>
      </c>
      <c r="X93" s="325">
        <v>0</v>
      </c>
      <c r="Y93" s="325">
        <v>0</v>
      </c>
      <c r="Z93" s="492">
        <f t="shared" si="228"/>
        <v>0</v>
      </c>
      <c r="AA93" s="492">
        <f t="shared" si="229"/>
        <v>0</v>
      </c>
      <c r="AB93" s="494">
        <f t="shared" si="230"/>
        <v>0</v>
      </c>
      <c r="AC93" s="494">
        <f t="shared" si="231"/>
        <v>0</v>
      </c>
      <c r="AD93" s="492">
        <v>0</v>
      </c>
      <c r="AE93" s="753">
        <f t="shared" si="232"/>
        <v>0</v>
      </c>
      <c r="AF93" s="688">
        <v>0</v>
      </c>
      <c r="AG93" s="326">
        <v>0</v>
      </c>
      <c r="AH93" s="326">
        <v>0</v>
      </c>
      <c r="AI93" s="326">
        <v>0</v>
      </c>
      <c r="AJ93" s="326">
        <v>0</v>
      </c>
      <c r="AK93" s="326">
        <v>0</v>
      </c>
      <c r="AL93" s="609">
        <f t="shared" si="233"/>
        <v>0</v>
      </c>
      <c r="AM93" s="493">
        <f>I93+AE93</f>
        <v>765918</v>
      </c>
      <c r="AN93" s="492">
        <f>J93+V93</f>
        <v>568188</v>
      </c>
      <c r="AO93" s="573">
        <f t="shared" si="234"/>
        <v>0</v>
      </c>
      <c r="AP93" s="492">
        <f t="shared" si="235"/>
        <v>192048</v>
      </c>
      <c r="AQ93" s="492">
        <f t="shared" si="235"/>
        <v>5682</v>
      </c>
      <c r="AR93" s="573">
        <f t="shared" si="235"/>
        <v>0</v>
      </c>
      <c r="AS93" s="491">
        <f t="shared" si="236"/>
        <v>1</v>
      </c>
    </row>
    <row r="94" spans="1:45" s="152" customFormat="1" x14ac:dyDescent="0.2">
      <c r="A94" s="154">
        <v>25</v>
      </c>
      <c r="B94" s="155">
        <v>3411</v>
      </c>
      <c r="C94" s="155">
        <v>600078400</v>
      </c>
      <c r="D94" s="155">
        <v>72742950</v>
      </c>
      <c r="E94" s="156" t="s">
        <v>52</v>
      </c>
      <c r="F94" s="155">
        <v>3113</v>
      </c>
      <c r="G94" s="156" t="s">
        <v>278</v>
      </c>
      <c r="H94" s="157" t="s">
        <v>263</v>
      </c>
      <c r="I94" s="580">
        <v>7059156</v>
      </c>
      <c r="J94" s="323">
        <v>5236762</v>
      </c>
      <c r="K94" s="410">
        <v>0</v>
      </c>
      <c r="L94" s="431">
        <v>1770026</v>
      </c>
      <c r="M94" s="431">
        <v>52368</v>
      </c>
      <c r="N94" s="431">
        <v>0</v>
      </c>
      <c r="O94" s="748">
        <v>12.65</v>
      </c>
      <c r="P94" s="440">
        <f>W94*-1</f>
        <v>0</v>
      </c>
      <c r="Q94" s="325">
        <v>-60601</v>
      </c>
      <c r="R94" s="325">
        <v>0</v>
      </c>
      <c r="S94" s="325">
        <v>0</v>
      </c>
      <c r="T94" s="325">
        <v>0</v>
      </c>
      <c r="U94" s="325">
        <v>0</v>
      </c>
      <c r="V94" s="492">
        <f t="shared" si="227"/>
        <v>-60601</v>
      </c>
      <c r="W94" s="325">
        <v>0</v>
      </c>
      <c r="X94" s="325">
        <v>0</v>
      </c>
      <c r="Y94" s="325">
        <v>0</v>
      </c>
      <c r="Z94" s="492">
        <f t="shared" si="228"/>
        <v>0</v>
      </c>
      <c r="AA94" s="492">
        <f t="shared" si="229"/>
        <v>-60601</v>
      </c>
      <c r="AB94" s="494">
        <f t="shared" si="230"/>
        <v>-20483</v>
      </c>
      <c r="AC94" s="494">
        <f t="shared" si="231"/>
        <v>-606</v>
      </c>
      <c r="AD94" s="492">
        <v>0</v>
      </c>
      <c r="AE94" s="753">
        <f t="shared" si="232"/>
        <v>-81690</v>
      </c>
      <c r="AF94" s="688">
        <v>0</v>
      </c>
      <c r="AG94" s="326">
        <v>-0.16</v>
      </c>
      <c r="AH94" s="326">
        <v>0</v>
      </c>
      <c r="AI94" s="326">
        <v>0</v>
      </c>
      <c r="AJ94" s="326">
        <v>0</v>
      </c>
      <c r="AK94" s="326">
        <v>0</v>
      </c>
      <c r="AL94" s="609">
        <f t="shared" si="233"/>
        <v>-0.16</v>
      </c>
      <c r="AM94" s="493">
        <f>I94+AE94</f>
        <v>6977466</v>
      </c>
      <c r="AN94" s="492">
        <f>J94+V94</f>
        <v>5176161</v>
      </c>
      <c r="AO94" s="573">
        <f t="shared" si="234"/>
        <v>0</v>
      </c>
      <c r="AP94" s="492">
        <f t="shared" si="235"/>
        <v>1749543</v>
      </c>
      <c r="AQ94" s="492">
        <f t="shared" si="235"/>
        <v>51762</v>
      </c>
      <c r="AR94" s="573">
        <f t="shared" si="235"/>
        <v>0</v>
      </c>
      <c r="AS94" s="491">
        <f t="shared" si="236"/>
        <v>12.49</v>
      </c>
    </row>
    <row r="95" spans="1:45" s="152" customFormat="1" ht="12.75" customHeight="1" x14ac:dyDescent="0.2">
      <c r="A95" s="154">
        <v>25</v>
      </c>
      <c r="B95" s="155">
        <v>3411</v>
      </c>
      <c r="C95" s="155">
        <v>600078400</v>
      </c>
      <c r="D95" s="155">
        <v>72742950</v>
      </c>
      <c r="E95" s="156" t="s">
        <v>52</v>
      </c>
      <c r="F95" s="155">
        <v>3143</v>
      </c>
      <c r="G95" s="156" t="s">
        <v>794</v>
      </c>
      <c r="H95" s="157" t="s">
        <v>262</v>
      </c>
      <c r="I95" s="580">
        <v>4245007</v>
      </c>
      <c r="J95" s="323">
        <v>3149115</v>
      </c>
      <c r="K95" s="410">
        <v>0</v>
      </c>
      <c r="L95" s="431">
        <v>1064401</v>
      </c>
      <c r="M95" s="431">
        <v>31491</v>
      </c>
      <c r="N95" s="431">
        <v>0</v>
      </c>
      <c r="O95" s="748">
        <v>6</v>
      </c>
      <c r="P95" s="440">
        <f>W95*-1</f>
        <v>0</v>
      </c>
      <c r="Q95" s="325">
        <v>0</v>
      </c>
      <c r="R95" s="325">
        <v>0</v>
      </c>
      <c r="S95" s="325">
        <v>0</v>
      </c>
      <c r="T95" s="325">
        <v>0</v>
      </c>
      <c r="U95" s="325">
        <v>0</v>
      </c>
      <c r="V95" s="492">
        <f t="shared" si="227"/>
        <v>0</v>
      </c>
      <c r="W95" s="325">
        <v>0</v>
      </c>
      <c r="X95" s="325">
        <v>0</v>
      </c>
      <c r="Y95" s="325">
        <v>0</v>
      </c>
      <c r="Z95" s="492">
        <f t="shared" si="228"/>
        <v>0</v>
      </c>
      <c r="AA95" s="492">
        <f t="shared" si="229"/>
        <v>0</v>
      </c>
      <c r="AB95" s="494">
        <f t="shared" si="230"/>
        <v>0</v>
      </c>
      <c r="AC95" s="494">
        <f t="shared" si="231"/>
        <v>0</v>
      </c>
      <c r="AD95" s="492">
        <v>0</v>
      </c>
      <c r="AE95" s="753">
        <f t="shared" si="232"/>
        <v>0</v>
      </c>
      <c r="AF95" s="688">
        <v>0</v>
      </c>
      <c r="AG95" s="326">
        <v>0</v>
      </c>
      <c r="AH95" s="326">
        <v>0</v>
      </c>
      <c r="AI95" s="326">
        <v>0</v>
      </c>
      <c r="AJ95" s="326">
        <v>0</v>
      </c>
      <c r="AK95" s="326">
        <v>0</v>
      </c>
      <c r="AL95" s="609">
        <f t="shared" si="233"/>
        <v>0</v>
      </c>
      <c r="AM95" s="493">
        <f>I95+AE95</f>
        <v>4245007</v>
      </c>
      <c r="AN95" s="492">
        <f>J95+V95</f>
        <v>3149115</v>
      </c>
      <c r="AO95" s="573">
        <f t="shared" si="234"/>
        <v>0</v>
      </c>
      <c r="AP95" s="492">
        <f t="shared" si="235"/>
        <v>1064401</v>
      </c>
      <c r="AQ95" s="492">
        <f t="shared" si="235"/>
        <v>31491</v>
      </c>
      <c r="AR95" s="573">
        <f t="shared" si="235"/>
        <v>0</v>
      </c>
      <c r="AS95" s="491">
        <f t="shared" si="236"/>
        <v>6</v>
      </c>
    </row>
    <row r="96" spans="1:45" s="152" customFormat="1" ht="12.75" customHeight="1" x14ac:dyDescent="0.2">
      <c r="A96" s="105">
        <v>25</v>
      </c>
      <c r="B96" s="12">
        <v>3411</v>
      </c>
      <c r="C96" s="104">
        <v>600078400</v>
      </c>
      <c r="D96" s="104">
        <v>72742950</v>
      </c>
      <c r="E96" s="153" t="s">
        <v>53</v>
      </c>
      <c r="F96" s="12"/>
      <c r="G96" s="153"/>
      <c r="H96" s="407"/>
      <c r="I96" s="746">
        <v>48504876</v>
      </c>
      <c r="J96" s="378">
        <v>35982845</v>
      </c>
      <c r="K96" s="378">
        <v>0</v>
      </c>
      <c r="L96" s="378">
        <v>12162202</v>
      </c>
      <c r="M96" s="378">
        <v>359829</v>
      </c>
      <c r="N96" s="378">
        <v>0</v>
      </c>
      <c r="O96" s="340">
        <v>55.32</v>
      </c>
      <c r="P96" s="444">
        <f t="shared" ref="P96:AS96" si="237">SUM(P92:P95)</f>
        <v>0</v>
      </c>
      <c r="Q96" s="378">
        <f t="shared" si="237"/>
        <v>-60601</v>
      </c>
      <c r="R96" s="378">
        <f t="shared" si="237"/>
        <v>0</v>
      </c>
      <c r="S96" s="378">
        <f t="shared" si="237"/>
        <v>0</v>
      </c>
      <c r="T96" s="378">
        <f t="shared" si="237"/>
        <v>0</v>
      </c>
      <c r="U96" s="378">
        <f t="shared" si="237"/>
        <v>0</v>
      </c>
      <c r="V96" s="378">
        <f t="shared" si="237"/>
        <v>-60601</v>
      </c>
      <c r="W96" s="378">
        <f t="shared" si="237"/>
        <v>0</v>
      </c>
      <c r="X96" s="378">
        <f t="shared" si="237"/>
        <v>0</v>
      </c>
      <c r="Y96" s="378">
        <f t="shared" si="237"/>
        <v>0</v>
      </c>
      <c r="Z96" s="378">
        <f t="shared" si="237"/>
        <v>0</v>
      </c>
      <c r="AA96" s="378">
        <f t="shared" si="237"/>
        <v>-60601</v>
      </c>
      <c r="AB96" s="378">
        <f t="shared" si="237"/>
        <v>-20483</v>
      </c>
      <c r="AC96" s="378">
        <f t="shared" si="237"/>
        <v>-606</v>
      </c>
      <c r="AD96" s="378">
        <f t="shared" si="237"/>
        <v>0</v>
      </c>
      <c r="AE96" s="752">
        <f t="shared" si="237"/>
        <v>-81690</v>
      </c>
      <c r="AF96" s="754">
        <f t="shared" si="237"/>
        <v>0</v>
      </c>
      <c r="AG96" s="398">
        <f t="shared" si="237"/>
        <v>-0.16</v>
      </c>
      <c r="AH96" s="398">
        <f t="shared" si="237"/>
        <v>0</v>
      </c>
      <c r="AI96" s="398">
        <f t="shared" si="237"/>
        <v>0</v>
      </c>
      <c r="AJ96" s="398">
        <f t="shared" si="237"/>
        <v>0</v>
      </c>
      <c r="AK96" s="398">
        <f t="shared" si="237"/>
        <v>0</v>
      </c>
      <c r="AL96" s="340">
        <f t="shared" si="237"/>
        <v>-0.16</v>
      </c>
      <c r="AM96" s="444">
        <f t="shared" si="237"/>
        <v>48423186</v>
      </c>
      <c r="AN96" s="378">
        <f t="shared" si="237"/>
        <v>35922244</v>
      </c>
      <c r="AO96" s="378">
        <f t="shared" si="237"/>
        <v>0</v>
      </c>
      <c r="AP96" s="378">
        <f t="shared" si="237"/>
        <v>12141719</v>
      </c>
      <c r="AQ96" s="378">
        <f t="shared" si="237"/>
        <v>359223</v>
      </c>
      <c r="AR96" s="378">
        <f t="shared" si="237"/>
        <v>0</v>
      </c>
      <c r="AS96" s="398">
        <f t="shared" si="237"/>
        <v>55.160000000000004</v>
      </c>
    </row>
    <row r="97" spans="1:45" s="152" customFormat="1" ht="12.75" customHeight="1" x14ac:dyDescent="0.2">
      <c r="A97" s="154">
        <v>26</v>
      </c>
      <c r="B97" s="155">
        <v>3408</v>
      </c>
      <c r="C97" s="155">
        <v>600078566</v>
      </c>
      <c r="D97" s="155">
        <v>72743115</v>
      </c>
      <c r="E97" s="156" t="s">
        <v>54</v>
      </c>
      <c r="F97" s="155">
        <v>3113</v>
      </c>
      <c r="G97" s="156" t="s">
        <v>280</v>
      </c>
      <c r="H97" s="157" t="s">
        <v>262</v>
      </c>
      <c r="I97" s="610">
        <v>19130825</v>
      </c>
      <c r="J97" s="410">
        <v>14192006</v>
      </c>
      <c r="K97" s="410">
        <v>0</v>
      </c>
      <c r="L97" s="431">
        <v>4796899</v>
      </c>
      <c r="M97" s="431">
        <v>141920</v>
      </c>
      <c r="N97" s="431">
        <v>0</v>
      </c>
      <c r="O97" s="747">
        <v>18.940000000000001</v>
      </c>
      <c r="P97" s="445">
        <f>W97*-1</f>
        <v>0</v>
      </c>
      <c r="Q97" s="325">
        <v>0</v>
      </c>
      <c r="R97" s="325">
        <v>0</v>
      </c>
      <c r="S97" s="325">
        <v>0</v>
      </c>
      <c r="T97" s="325">
        <v>0</v>
      </c>
      <c r="U97" s="325">
        <v>0</v>
      </c>
      <c r="V97" s="492">
        <f t="shared" ref="V97:V100" si="238">P97+Q97+R97+S97+T97+U97</f>
        <v>0</v>
      </c>
      <c r="W97" s="325">
        <v>0</v>
      </c>
      <c r="X97" s="325">
        <v>0</v>
      </c>
      <c r="Y97" s="325">
        <v>0</v>
      </c>
      <c r="Z97" s="492">
        <f t="shared" ref="Z97:Z100" si="239">W97+X97+Y97</f>
        <v>0</v>
      </c>
      <c r="AA97" s="492">
        <f t="shared" ref="AA97:AA100" si="240">V97+Z97</f>
        <v>0</v>
      </c>
      <c r="AB97" s="494">
        <f t="shared" ref="AB97:AB100" si="241">ROUND((V97+Z97)*33.8%,0)</f>
        <v>0</v>
      </c>
      <c r="AC97" s="494">
        <f t="shared" ref="AC97:AC100" si="242">ROUND(V97*1%,0)</f>
        <v>0</v>
      </c>
      <c r="AD97" s="492">
        <v>0</v>
      </c>
      <c r="AE97" s="753">
        <f t="shared" ref="AE97:AE100" si="243">AA97+AB97+AC97+AD97</f>
        <v>0</v>
      </c>
      <c r="AF97" s="688">
        <v>0</v>
      </c>
      <c r="AG97" s="326">
        <v>0</v>
      </c>
      <c r="AH97" s="326">
        <v>0</v>
      </c>
      <c r="AI97" s="326">
        <v>0</v>
      </c>
      <c r="AJ97" s="326">
        <v>0</v>
      </c>
      <c r="AK97" s="326">
        <v>0</v>
      </c>
      <c r="AL97" s="609">
        <f t="shared" ref="AL97:AL100" si="244">SUM(AF97:AK97)</f>
        <v>0</v>
      </c>
      <c r="AM97" s="493">
        <f>I97+AE97</f>
        <v>19130825</v>
      </c>
      <c r="AN97" s="492">
        <f>J97+V97</f>
        <v>14192006</v>
      </c>
      <c r="AO97" s="573">
        <f t="shared" ref="AO97:AO100" si="245">K97+Z97</f>
        <v>0</v>
      </c>
      <c r="AP97" s="492">
        <f t="shared" ref="AP97:AR100" si="246">L97+AB97</f>
        <v>4796899</v>
      </c>
      <c r="AQ97" s="492">
        <f t="shared" si="246"/>
        <v>141920</v>
      </c>
      <c r="AR97" s="573">
        <f t="shared" si="246"/>
        <v>0</v>
      </c>
      <c r="AS97" s="491">
        <f t="shared" ref="AS97:AS100" si="247">O97+AL97</f>
        <v>18.940000000000001</v>
      </c>
    </row>
    <row r="98" spans="1:45" s="152" customFormat="1" ht="12.75" customHeight="1" x14ac:dyDescent="0.2">
      <c r="A98" s="154">
        <v>26</v>
      </c>
      <c r="B98" s="155">
        <v>3408</v>
      </c>
      <c r="C98" s="155">
        <v>600078566</v>
      </c>
      <c r="D98" s="155">
        <v>72743115</v>
      </c>
      <c r="E98" s="156" t="s">
        <v>54</v>
      </c>
      <c r="F98" s="155">
        <v>3113</v>
      </c>
      <c r="G98" s="156" t="s">
        <v>799</v>
      </c>
      <c r="H98" s="157" t="s">
        <v>262</v>
      </c>
      <c r="I98" s="610">
        <v>327394</v>
      </c>
      <c r="J98" s="410">
        <v>242874</v>
      </c>
      <c r="K98" s="410">
        <v>0</v>
      </c>
      <c r="L98" s="431">
        <v>82091</v>
      </c>
      <c r="M98" s="431">
        <v>2429</v>
      </c>
      <c r="N98" s="431">
        <v>0</v>
      </c>
      <c r="O98" s="747">
        <v>0.5</v>
      </c>
      <c r="P98" s="445">
        <f>W98*-1</f>
        <v>0</v>
      </c>
      <c r="Q98" s="325">
        <v>0</v>
      </c>
      <c r="R98" s="325">
        <v>0</v>
      </c>
      <c r="S98" s="325">
        <v>0</v>
      </c>
      <c r="T98" s="325">
        <v>0</v>
      </c>
      <c r="U98" s="325">
        <v>0</v>
      </c>
      <c r="V98" s="492">
        <f t="shared" si="238"/>
        <v>0</v>
      </c>
      <c r="W98" s="325">
        <v>0</v>
      </c>
      <c r="X98" s="325">
        <v>0</v>
      </c>
      <c r="Y98" s="325">
        <v>0</v>
      </c>
      <c r="Z98" s="492">
        <f t="shared" si="239"/>
        <v>0</v>
      </c>
      <c r="AA98" s="492">
        <f t="shared" si="240"/>
        <v>0</v>
      </c>
      <c r="AB98" s="494">
        <f t="shared" si="241"/>
        <v>0</v>
      </c>
      <c r="AC98" s="494">
        <f t="shared" si="242"/>
        <v>0</v>
      </c>
      <c r="AD98" s="492">
        <v>0</v>
      </c>
      <c r="AE98" s="753">
        <f t="shared" si="243"/>
        <v>0</v>
      </c>
      <c r="AF98" s="688">
        <v>0</v>
      </c>
      <c r="AG98" s="326">
        <v>0</v>
      </c>
      <c r="AH98" s="326">
        <v>0</v>
      </c>
      <c r="AI98" s="326">
        <v>0</v>
      </c>
      <c r="AJ98" s="326">
        <v>0</v>
      </c>
      <c r="AK98" s="326">
        <v>0</v>
      </c>
      <c r="AL98" s="609">
        <f t="shared" si="244"/>
        <v>0</v>
      </c>
      <c r="AM98" s="493">
        <f>I98+AE98</f>
        <v>327394</v>
      </c>
      <c r="AN98" s="492">
        <f>J98+V98</f>
        <v>242874</v>
      </c>
      <c r="AO98" s="573">
        <f t="shared" si="245"/>
        <v>0</v>
      </c>
      <c r="AP98" s="492">
        <f t="shared" si="246"/>
        <v>82091</v>
      </c>
      <c r="AQ98" s="492">
        <f t="shared" si="246"/>
        <v>2429</v>
      </c>
      <c r="AR98" s="573">
        <f t="shared" si="246"/>
        <v>0</v>
      </c>
      <c r="AS98" s="491">
        <f t="shared" si="247"/>
        <v>0.5</v>
      </c>
    </row>
    <row r="99" spans="1:45" s="152" customFormat="1" x14ac:dyDescent="0.2">
      <c r="A99" s="154">
        <v>26</v>
      </c>
      <c r="B99" s="155">
        <v>3408</v>
      </c>
      <c r="C99" s="155">
        <v>600078566</v>
      </c>
      <c r="D99" s="155">
        <v>72743115</v>
      </c>
      <c r="E99" s="156" t="s">
        <v>54</v>
      </c>
      <c r="F99" s="155">
        <v>3113</v>
      </c>
      <c r="G99" s="156" t="s">
        <v>278</v>
      </c>
      <c r="H99" s="157" t="s">
        <v>263</v>
      </c>
      <c r="I99" s="580">
        <v>3236804</v>
      </c>
      <c r="J99" s="323">
        <v>2401190</v>
      </c>
      <c r="K99" s="410">
        <v>0</v>
      </c>
      <c r="L99" s="431">
        <v>811602</v>
      </c>
      <c r="M99" s="431">
        <v>24012</v>
      </c>
      <c r="N99" s="431">
        <v>0</v>
      </c>
      <c r="O99" s="748">
        <v>5.94</v>
      </c>
      <c r="P99" s="440">
        <f>W99*-1</f>
        <v>0</v>
      </c>
      <c r="Q99" s="325">
        <f>211288-198424</f>
        <v>12864</v>
      </c>
      <c r="R99" s="325">
        <v>0</v>
      </c>
      <c r="S99" s="325">
        <v>0</v>
      </c>
      <c r="T99" s="325">
        <v>0</v>
      </c>
      <c r="U99" s="325">
        <v>0</v>
      </c>
      <c r="V99" s="492">
        <f t="shared" si="238"/>
        <v>12864</v>
      </c>
      <c r="W99" s="325">
        <v>0</v>
      </c>
      <c r="X99" s="325">
        <v>0</v>
      </c>
      <c r="Y99" s="325">
        <v>0</v>
      </c>
      <c r="Z99" s="492">
        <f t="shared" si="239"/>
        <v>0</v>
      </c>
      <c r="AA99" s="492">
        <f t="shared" si="240"/>
        <v>12864</v>
      </c>
      <c r="AB99" s="494">
        <f t="shared" si="241"/>
        <v>4348</v>
      </c>
      <c r="AC99" s="494">
        <f t="shared" si="242"/>
        <v>129</v>
      </c>
      <c r="AD99" s="492">
        <v>0</v>
      </c>
      <c r="AE99" s="753">
        <f t="shared" si="243"/>
        <v>17341</v>
      </c>
      <c r="AF99" s="688">
        <v>0</v>
      </c>
      <c r="AG99" s="326">
        <f>0.53-0.5</f>
        <v>3.0000000000000027E-2</v>
      </c>
      <c r="AH99" s="326">
        <v>0</v>
      </c>
      <c r="AI99" s="326">
        <v>0</v>
      </c>
      <c r="AJ99" s="326">
        <v>0</v>
      </c>
      <c r="AK99" s="326">
        <v>0</v>
      </c>
      <c r="AL99" s="609">
        <f t="shared" si="244"/>
        <v>3.0000000000000027E-2</v>
      </c>
      <c r="AM99" s="493">
        <f>I99+AE99</f>
        <v>3254145</v>
      </c>
      <c r="AN99" s="492">
        <f>J99+V99</f>
        <v>2414054</v>
      </c>
      <c r="AO99" s="573">
        <f t="shared" si="245"/>
        <v>0</v>
      </c>
      <c r="AP99" s="492">
        <f t="shared" si="246"/>
        <v>815950</v>
      </c>
      <c r="AQ99" s="492">
        <f t="shared" si="246"/>
        <v>24141</v>
      </c>
      <c r="AR99" s="573">
        <f t="shared" si="246"/>
        <v>0</v>
      </c>
      <c r="AS99" s="491">
        <f t="shared" si="247"/>
        <v>5.9700000000000006</v>
      </c>
    </row>
    <row r="100" spans="1:45" s="152" customFormat="1" ht="12.75" customHeight="1" x14ac:dyDescent="0.2">
      <c r="A100" s="154">
        <v>26</v>
      </c>
      <c r="B100" s="155">
        <v>3408</v>
      </c>
      <c r="C100" s="155">
        <v>600078566</v>
      </c>
      <c r="D100" s="155">
        <v>72743115</v>
      </c>
      <c r="E100" s="156" t="s">
        <v>54</v>
      </c>
      <c r="F100" s="155">
        <v>3143</v>
      </c>
      <c r="G100" s="156" t="s">
        <v>794</v>
      </c>
      <c r="H100" s="157" t="s">
        <v>262</v>
      </c>
      <c r="I100" s="580">
        <v>1961204</v>
      </c>
      <c r="J100" s="323">
        <v>1454899</v>
      </c>
      <c r="K100" s="410">
        <v>0</v>
      </c>
      <c r="L100" s="431">
        <v>491756</v>
      </c>
      <c r="M100" s="431">
        <v>14549</v>
      </c>
      <c r="N100" s="431">
        <v>0</v>
      </c>
      <c r="O100" s="748">
        <v>2.64</v>
      </c>
      <c r="P100" s="440">
        <f>W100*-1</f>
        <v>0</v>
      </c>
      <c r="Q100" s="325">
        <v>0</v>
      </c>
      <c r="R100" s="325">
        <v>0</v>
      </c>
      <c r="S100" s="325">
        <v>0</v>
      </c>
      <c r="T100" s="325">
        <v>0</v>
      </c>
      <c r="U100" s="325">
        <v>0</v>
      </c>
      <c r="V100" s="492">
        <f t="shared" si="238"/>
        <v>0</v>
      </c>
      <c r="W100" s="325">
        <v>0</v>
      </c>
      <c r="X100" s="325">
        <v>0</v>
      </c>
      <c r="Y100" s="325">
        <v>0</v>
      </c>
      <c r="Z100" s="492">
        <f t="shared" si="239"/>
        <v>0</v>
      </c>
      <c r="AA100" s="492">
        <f t="shared" si="240"/>
        <v>0</v>
      </c>
      <c r="AB100" s="494">
        <f t="shared" si="241"/>
        <v>0</v>
      </c>
      <c r="AC100" s="494">
        <f t="shared" si="242"/>
        <v>0</v>
      </c>
      <c r="AD100" s="492">
        <v>0</v>
      </c>
      <c r="AE100" s="753">
        <f t="shared" si="243"/>
        <v>0</v>
      </c>
      <c r="AF100" s="688">
        <v>0</v>
      </c>
      <c r="AG100" s="326">
        <v>0</v>
      </c>
      <c r="AH100" s="326">
        <v>0</v>
      </c>
      <c r="AI100" s="326">
        <v>0</v>
      </c>
      <c r="AJ100" s="326">
        <v>0</v>
      </c>
      <c r="AK100" s="326">
        <v>0</v>
      </c>
      <c r="AL100" s="609">
        <f t="shared" si="244"/>
        <v>0</v>
      </c>
      <c r="AM100" s="493">
        <f>I100+AE100</f>
        <v>1961204</v>
      </c>
      <c r="AN100" s="492">
        <f>J100+V100</f>
        <v>1454899</v>
      </c>
      <c r="AO100" s="573">
        <f t="shared" si="245"/>
        <v>0</v>
      </c>
      <c r="AP100" s="492">
        <f t="shared" si="246"/>
        <v>491756</v>
      </c>
      <c r="AQ100" s="492">
        <f t="shared" si="246"/>
        <v>14549</v>
      </c>
      <c r="AR100" s="573">
        <f t="shared" si="246"/>
        <v>0</v>
      </c>
      <c r="AS100" s="491">
        <f t="shared" si="247"/>
        <v>2.64</v>
      </c>
    </row>
    <row r="101" spans="1:45" s="152" customFormat="1" ht="12.75" customHeight="1" x14ac:dyDescent="0.2">
      <c r="A101" s="105">
        <v>26</v>
      </c>
      <c r="B101" s="12">
        <v>3408</v>
      </c>
      <c r="C101" s="104">
        <v>600078566</v>
      </c>
      <c r="D101" s="104">
        <v>72743115</v>
      </c>
      <c r="E101" s="153" t="s">
        <v>55</v>
      </c>
      <c r="F101" s="12"/>
      <c r="G101" s="153"/>
      <c r="H101" s="407"/>
      <c r="I101" s="746">
        <v>24656227</v>
      </c>
      <c r="J101" s="378">
        <v>18290969</v>
      </c>
      <c r="K101" s="378">
        <v>0</v>
      </c>
      <c r="L101" s="378">
        <v>6182348</v>
      </c>
      <c r="M101" s="378">
        <v>182910</v>
      </c>
      <c r="N101" s="378">
        <v>0</v>
      </c>
      <c r="O101" s="340">
        <v>28.020000000000003</v>
      </c>
      <c r="P101" s="444">
        <f t="shared" ref="P101:AS101" si="248">SUM(P97:P100)</f>
        <v>0</v>
      </c>
      <c r="Q101" s="378">
        <f t="shared" si="248"/>
        <v>12864</v>
      </c>
      <c r="R101" s="378">
        <f t="shared" si="248"/>
        <v>0</v>
      </c>
      <c r="S101" s="378">
        <f t="shared" si="248"/>
        <v>0</v>
      </c>
      <c r="T101" s="378">
        <f t="shared" si="248"/>
        <v>0</v>
      </c>
      <c r="U101" s="378">
        <f t="shared" si="248"/>
        <v>0</v>
      </c>
      <c r="V101" s="378">
        <f t="shared" si="248"/>
        <v>12864</v>
      </c>
      <c r="W101" s="378">
        <f t="shared" si="248"/>
        <v>0</v>
      </c>
      <c r="X101" s="378">
        <f t="shared" si="248"/>
        <v>0</v>
      </c>
      <c r="Y101" s="378">
        <f t="shared" si="248"/>
        <v>0</v>
      </c>
      <c r="Z101" s="378">
        <f t="shared" si="248"/>
        <v>0</v>
      </c>
      <c r="AA101" s="378">
        <f t="shared" si="248"/>
        <v>12864</v>
      </c>
      <c r="AB101" s="378">
        <f t="shared" si="248"/>
        <v>4348</v>
      </c>
      <c r="AC101" s="378">
        <f t="shared" si="248"/>
        <v>129</v>
      </c>
      <c r="AD101" s="378">
        <f t="shared" si="248"/>
        <v>0</v>
      </c>
      <c r="AE101" s="752">
        <f t="shared" si="248"/>
        <v>17341</v>
      </c>
      <c r="AF101" s="754">
        <f t="shared" si="248"/>
        <v>0</v>
      </c>
      <c r="AG101" s="398">
        <f t="shared" si="248"/>
        <v>3.0000000000000027E-2</v>
      </c>
      <c r="AH101" s="398">
        <f t="shared" si="248"/>
        <v>0</v>
      </c>
      <c r="AI101" s="398">
        <f t="shared" si="248"/>
        <v>0</v>
      </c>
      <c r="AJ101" s="398">
        <f t="shared" si="248"/>
        <v>0</v>
      </c>
      <c r="AK101" s="398">
        <f t="shared" si="248"/>
        <v>0</v>
      </c>
      <c r="AL101" s="340">
        <f t="shared" si="248"/>
        <v>3.0000000000000027E-2</v>
      </c>
      <c r="AM101" s="444">
        <f t="shared" si="248"/>
        <v>24673568</v>
      </c>
      <c r="AN101" s="378">
        <f t="shared" si="248"/>
        <v>18303833</v>
      </c>
      <c r="AO101" s="378">
        <f t="shared" si="248"/>
        <v>0</v>
      </c>
      <c r="AP101" s="378">
        <f t="shared" si="248"/>
        <v>6186696</v>
      </c>
      <c r="AQ101" s="378">
        <f t="shared" si="248"/>
        <v>183039</v>
      </c>
      <c r="AR101" s="378">
        <f t="shared" si="248"/>
        <v>0</v>
      </c>
      <c r="AS101" s="398">
        <f t="shared" si="248"/>
        <v>28.050000000000004</v>
      </c>
    </row>
    <row r="102" spans="1:45" s="152" customFormat="1" ht="12.75" customHeight="1" x14ac:dyDescent="0.2">
      <c r="A102" s="154">
        <v>27</v>
      </c>
      <c r="B102" s="155">
        <v>3417</v>
      </c>
      <c r="C102" s="155">
        <v>600078353</v>
      </c>
      <c r="D102" s="155">
        <v>72743352</v>
      </c>
      <c r="E102" s="156" t="s">
        <v>56</v>
      </c>
      <c r="F102" s="155">
        <v>3113</v>
      </c>
      <c r="G102" s="156" t="s">
        <v>280</v>
      </c>
      <c r="H102" s="157" t="s">
        <v>262</v>
      </c>
      <c r="I102" s="610">
        <v>14216336</v>
      </c>
      <c r="J102" s="410">
        <v>10516465</v>
      </c>
      <c r="K102" s="410">
        <v>30000</v>
      </c>
      <c r="L102" s="431">
        <v>3564706</v>
      </c>
      <c r="M102" s="431">
        <v>105165</v>
      </c>
      <c r="N102" s="431">
        <v>0</v>
      </c>
      <c r="O102" s="747">
        <v>13.77</v>
      </c>
      <c r="P102" s="445">
        <f>W102*-1</f>
        <v>-20000</v>
      </c>
      <c r="Q102" s="325">
        <v>0</v>
      </c>
      <c r="R102" s="325">
        <v>0</v>
      </c>
      <c r="S102" s="325">
        <v>0</v>
      </c>
      <c r="T102" s="325">
        <v>0</v>
      </c>
      <c r="U102" s="325">
        <v>0</v>
      </c>
      <c r="V102" s="492">
        <f t="shared" ref="V102:V104" si="249">P102+Q102+R102+S102+T102+U102</f>
        <v>-20000</v>
      </c>
      <c r="W102" s="325">
        <v>20000</v>
      </c>
      <c r="X102" s="325">
        <v>0</v>
      </c>
      <c r="Y102" s="325">
        <v>0</v>
      </c>
      <c r="Z102" s="492">
        <f t="shared" ref="Z102:Z104" si="250">W102+X102+Y102</f>
        <v>20000</v>
      </c>
      <c r="AA102" s="492">
        <f t="shared" ref="AA102:AA104" si="251">V102+Z102</f>
        <v>0</v>
      </c>
      <c r="AB102" s="494">
        <f t="shared" ref="AB102:AB104" si="252">ROUND((V102+Z102)*33.8%,0)</f>
        <v>0</v>
      </c>
      <c r="AC102" s="494">
        <f t="shared" ref="AC102:AC104" si="253">ROUND(V102*1%,0)</f>
        <v>-200</v>
      </c>
      <c r="AD102" s="492">
        <v>0</v>
      </c>
      <c r="AE102" s="753">
        <f t="shared" ref="AE102:AE104" si="254">AA102+AB102+AC102+AD102</f>
        <v>-200</v>
      </c>
      <c r="AF102" s="688">
        <v>0</v>
      </c>
      <c r="AG102" s="326">
        <v>0</v>
      </c>
      <c r="AH102" s="326">
        <v>0</v>
      </c>
      <c r="AI102" s="326">
        <v>0</v>
      </c>
      <c r="AJ102" s="326">
        <v>0</v>
      </c>
      <c r="AK102" s="326">
        <v>0</v>
      </c>
      <c r="AL102" s="609">
        <f t="shared" ref="AL102:AL104" si="255">SUM(AF102:AK102)</f>
        <v>0</v>
      </c>
      <c r="AM102" s="493">
        <f>I102+AE102</f>
        <v>14216136</v>
      </c>
      <c r="AN102" s="492">
        <f>J102+V102</f>
        <v>10496465</v>
      </c>
      <c r="AO102" s="573">
        <f t="shared" ref="AO102:AO104" si="256">K102+Z102</f>
        <v>50000</v>
      </c>
      <c r="AP102" s="492">
        <f t="shared" ref="AP102:AR104" si="257">L102+AB102</f>
        <v>3564706</v>
      </c>
      <c r="AQ102" s="492">
        <f t="shared" si="257"/>
        <v>104965</v>
      </c>
      <c r="AR102" s="573">
        <f t="shared" si="257"/>
        <v>0</v>
      </c>
      <c r="AS102" s="491">
        <f t="shared" ref="AS102:AS104" si="258">O102+AL102</f>
        <v>13.77</v>
      </c>
    </row>
    <row r="103" spans="1:45" s="152" customFormat="1" x14ac:dyDescent="0.2">
      <c r="A103" s="154">
        <v>27</v>
      </c>
      <c r="B103" s="155">
        <v>3417</v>
      </c>
      <c r="C103" s="155">
        <v>600078353</v>
      </c>
      <c r="D103" s="155">
        <v>72743352</v>
      </c>
      <c r="E103" s="156" t="s">
        <v>56</v>
      </c>
      <c r="F103" s="155">
        <v>3113</v>
      </c>
      <c r="G103" s="156" t="s">
        <v>278</v>
      </c>
      <c r="H103" s="157" t="s">
        <v>263</v>
      </c>
      <c r="I103" s="580">
        <v>668689</v>
      </c>
      <c r="J103" s="323">
        <v>496060</v>
      </c>
      <c r="K103" s="410">
        <v>0</v>
      </c>
      <c r="L103" s="431">
        <v>167668</v>
      </c>
      <c r="M103" s="431">
        <v>4961</v>
      </c>
      <c r="N103" s="431">
        <v>0</v>
      </c>
      <c r="O103" s="748">
        <v>1.25</v>
      </c>
      <c r="P103" s="440">
        <f>W103*-1</f>
        <v>0</v>
      </c>
      <c r="Q103" s="325">
        <v>0</v>
      </c>
      <c r="R103" s="325">
        <v>0</v>
      </c>
      <c r="S103" s="325">
        <v>0</v>
      </c>
      <c r="T103" s="325">
        <v>0</v>
      </c>
      <c r="U103" s="325">
        <v>0</v>
      </c>
      <c r="V103" s="492">
        <f t="shared" si="249"/>
        <v>0</v>
      </c>
      <c r="W103" s="325">
        <v>0</v>
      </c>
      <c r="X103" s="325">
        <v>0</v>
      </c>
      <c r="Y103" s="325">
        <v>0</v>
      </c>
      <c r="Z103" s="492">
        <f t="shared" si="250"/>
        <v>0</v>
      </c>
      <c r="AA103" s="492">
        <f t="shared" si="251"/>
        <v>0</v>
      </c>
      <c r="AB103" s="494">
        <f t="shared" si="252"/>
        <v>0</v>
      </c>
      <c r="AC103" s="494">
        <f t="shared" si="253"/>
        <v>0</v>
      </c>
      <c r="AD103" s="492">
        <v>0</v>
      </c>
      <c r="AE103" s="753">
        <f t="shared" si="254"/>
        <v>0</v>
      </c>
      <c r="AF103" s="688">
        <v>0</v>
      </c>
      <c r="AG103" s="326">
        <v>0</v>
      </c>
      <c r="AH103" s="326">
        <v>0</v>
      </c>
      <c r="AI103" s="326">
        <v>0</v>
      </c>
      <c r="AJ103" s="326">
        <v>0</v>
      </c>
      <c r="AK103" s="326">
        <v>0</v>
      </c>
      <c r="AL103" s="609">
        <f t="shared" si="255"/>
        <v>0</v>
      </c>
      <c r="AM103" s="493">
        <f>I103+AE103</f>
        <v>668689</v>
      </c>
      <c r="AN103" s="492">
        <f>J103+V103</f>
        <v>496060</v>
      </c>
      <c r="AO103" s="573">
        <f t="shared" si="256"/>
        <v>0</v>
      </c>
      <c r="AP103" s="492">
        <f t="shared" si="257"/>
        <v>167668</v>
      </c>
      <c r="AQ103" s="492">
        <f t="shared" si="257"/>
        <v>4961</v>
      </c>
      <c r="AR103" s="573">
        <f t="shared" si="257"/>
        <v>0</v>
      </c>
      <c r="AS103" s="491">
        <f t="shared" si="258"/>
        <v>1.25</v>
      </c>
    </row>
    <row r="104" spans="1:45" s="152" customFormat="1" ht="12.75" customHeight="1" x14ac:dyDescent="0.2">
      <c r="A104" s="154">
        <v>27</v>
      </c>
      <c r="B104" s="155">
        <v>3417</v>
      </c>
      <c r="C104" s="155">
        <v>600078353</v>
      </c>
      <c r="D104" s="155">
        <v>72743352</v>
      </c>
      <c r="E104" s="156" t="s">
        <v>56</v>
      </c>
      <c r="F104" s="155">
        <v>3143</v>
      </c>
      <c r="G104" s="156" t="s">
        <v>794</v>
      </c>
      <c r="H104" s="157" t="s">
        <v>262</v>
      </c>
      <c r="I104" s="580">
        <v>1520330</v>
      </c>
      <c r="J104" s="323">
        <v>1121886</v>
      </c>
      <c r="K104" s="410">
        <v>6000</v>
      </c>
      <c r="L104" s="431">
        <v>381225</v>
      </c>
      <c r="M104" s="431">
        <v>11219</v>
      </c>
      <c r="N104" s="431">
        <v>0</v>
      </c>
      <c r="O104" s="748">
        <v>2</v>
      </c>
      <c r="P104" s="440">
        <f>W104*-1</f>
        <v>-4000</v>
      </c>
      <c r="Q104" s="325">
        <v>0</v>
      </c>
      <c r="R104" s="325">
        <v>0</v>
      </c>
      <c r="S104" s="325">
        <v>0</v>
      </c>
      <c r="T104" s="325">
        <v>0</v>
      </c>
      <c r="U104" s="325">
        <v>0</v>
      </c>
      <c r="V104" s="492">
        <f t="shared" si="249"/>
        <v>-4000</v>
      </c>
      <c r="W104" s="325">
        <v>4000</v>
      </c>
      <c r="X104" s="325">
        <v>0</v>
      </c>
      <c r="Y104" s="325">
        <v>0</v>
      </c>
      <c r="Z104" s="492">
        <f t="shared" si="250"/>
        <v>4000</v>
      </c>
      <c r="AA104" s="492">
        <f t="shared" si="251"/>
        <v>0</v>
      </c>
      <c r="AB104" s="494">
        <f t="shared" si="252"/>
        <v>0</v>
      </c>
      <c r="AC104" s="494">
        <f t="shared" si="253"/>
        <v>-40</v>
      </c>
      <c r="AD104" s="492">
        <v>0</v>
      </c>
      <c r="AE104" s="753">
        <f t="shared" si="254"/>
        <v>-40</v>
      </c>
      <c r="AF104" s="688">
        <v>0</v>
      </c>
      <c r="AG104" s="326">
        <v>0</v>
      </c>
      <c r="AH104" s="326">
        <v>0</v>
      </c>
      <c r="AI104" s="326">
        <v>0</v>
      </c>
      <c r="AJ104" s="326">
        <v>0</v>
      </c>
      <c r="AK104" s="326">
        <v>0</v>
      </c>
      <c r="AL104" s="609">
        <f t="shared" si="255"/>
        <v>0</v>
      </c>
      <c r="AM104" s="493">
        <f>I104+AE104</f>
        <v>1520290</v>
      </c>
      <c r="AN104" s="492">
        <f>J104+V104</f>
        <v>1117886</v>
      </c>
      <c r="AO104" s="573">
        <f t="shared" si="256"/>
        <v>10000</v>
      </c>
      <c r="AP104" s="492">
        <f t="shared" si="257"/>
        <v>381225</v>
      </c>
      <c r="AQ104" s="492">
        <f t="shared" si="257"/>
        <v>11179</v>
      </c>
      <c r="AR104" s="573">
        <f t="shared" si="257"/>
        <v>0</v>
      </c>
      <c r="AS104" s="491">
        <f t="shared" si="258"/>
        <v>2</v>
      </c>
    </row>
    <row r="105" spans="1:45" s="152" customFormat="1" ht="12.75" customHeight="1" x14ac:dyDescent="0.2">
      <c r="A105" s="105">
        <v>27</v>
      </c>
      <c r="B105" s="12">
        <v>3417</v>
      </c>
      <c r="C105" s="104">
        <v>600078353</v>
      </c>
      <c r="D105" s="104">
        <v>72743352</v>
      </c>
      <c r="E105" s="153" t="s">
        <v>57</v>
      </c>
      <c r="F105" s="12"/>
      <c r="G105" s="153"/>
      <c r="H105" s="407"/>
      <c r="I105" s="746">
        <v>16405355</v>
      </c>
      <c r="J105" s="378">
        <v>12134411</v>
      </c>
      <c r="K105" s="378">
        <v>36000</v>
      </c>
      <c r="L105" s="378">
        <v>4113599</v>
      </c>
      <c r="M105" s="378">
        <v>121345</v>
      </c>
      <c r="N105" s="378">
        <v>0</v>
      </c>
      <c r="O105" s="340">
        <v>17.02</v>
      </c>
      <c r="P105" s="444">
        <f t="shared" ref="P105:AS105" si="259">SUM(P102:P104)</f>
        <v>-24000</v>
      </c>
      <c r="Q105" s="378">
        <f t="shared" si="259"/>
        <v>0</v>
      </c>
      <c r="R105" s="378">
        <f t="shared" si="259"/>
        <v>0</v>
      </c>
      <c r="S105" s="378">
        <f t="shared" si="259"/>
        <v>0</v>
      </c>
      <c r="T105" s="378">
        <f t="shared" si="259"/>
        <v>0</v>
      </c>
      <c r="U105" s="378">
        <f t="shared" si="259"/>
        <v>0</v>
      </c>
      <c r="V105" s="378">
        <f t="shared" si="259"/>
        <v>-24000</v>
      </c>
      <c r="W105" s="378">
        <f t="shared" si="259"/>
        <v>24000</v>
      </c>
      <c r="X105" s="378">
        <f t="shared" si="259"/>
        <v>0</v>
      </c>
      <c r="Y105" s="378">
        <f t="shared" si="259"/>
        <v>0</v>
      </c>
      <c r="Z105" s="378">
        <f t="shared" si="259"/>
        <v>24000</v>
      </c>
      <c r="AA105" s="378">
        <f t="shared" si="259"/>
        <v>0</v>
      </c>
      <c r="AB105" s="378">
        <f t="shared" si="259"/>
        <v>0</v>
      </c>
      <c r="AC105" s="378">
        <f t="shared" si="259"/>
        <v>-240</v>
      </c>
      <c r="AD105" s="378">
        <f t="shared" si="259"/>
        <v>0</v>
      </c>
      <c r="AE105" s="752">
        <f t="shared" si="259"/>
        <v>-240</v>
      </c>
      <c r="AF105" s="754">
        <f t="shared" si="259"/>
        <v>0</v>
      </c>
      <c r="AG105" s="398">
        <f t="shared" si="259"/>
        <v>0</v>
      </c>
      <c r="AH105" s="398">
        <f t="shared" si="259"/>
        <v>0</v>
      </c>
      <c r="AI105" s="398">
        <f t="shared" si="259"/>
        <v>0</v>
      </c>
      <c r="AJ105" s="398">
        <f t="shared" si="259"/>
        <v>0</v>
      </c>
      <c r="AK105" s="398">
        <f t="shared" si="259"/>
        <v>0</v>
      </c>
      <c r="AL105" s="340">
        <f t="shared" si="259"/>
        <v>0</v>
      </c>
      <c r="AM105" s="444">
        <f t="shared" si="259"/>
        <v>16405115</v>
      </c>
      <c r="AN105" s="378">
        <f t="shared" si="259"/>
        <v>12110411</v>
      </c>
      <c r="AO105" s="378">
        <f t="shared" si="259"/>
        <v>60000</v>
      </c>
      <c r="AP105" s="378">
        <f t="shared" si="259"/>
        <v>4113599</v>
      </c>
      <c r="AQ105" s="378">
        <f t="shared" si="259"/>
        <v>121105</v>
      </c>
      <c r="AR105" s="378">
        <f t="shared" si="259"/>
        <v>0</v>
      </c>
      <c r="AS105" s="398">
        <f t="shared" si="259"/>
        <v>17.02</v>
      </c>
    </row>
    <row r="106" spans="1:45" s="152" customFormat="1" ht="12.75" customHeight="1" x14ac:dyDescent="0.2">
      <c r="A106" s="154">
        <v>28</v>
      </c>
      <c r="B106" s="155">
        <v>3410</v>
      </c>
      <c r="C106" s="155">
        <v>650038550</v>
      </c>
      <c r="D106" s="155">
        <v>72743191</v>
      </c>
      <c r="E106" s="156" t="s">
        <v>58</v>
      </c>
      <c r="F106" s="155">
        <v>3113</v>
      </c>
      <c r="G106" s="156" t="s">
        <v>280</v>
      </c>
      <c r="H106" s="157" t="s">
        <v>262</v>
      </c>
      <c r="I106" s="610">
        <v>24927086</v>
      </c>
      <c r="J106" s="410">
        <v>18468677</v>
      </c>
      <c r="K106" s="410">
        <v>23400</v>
      </c>
      <c r="L106" s="431">
        <v>6250322</v>
      </c>
      <c r="M106" s="431">
        <v>184687</v>
      </c>
      <c r="N106" s="431">
        <v>0</v>
      </c>
      <c r="O106" s="747">
        <v>25.39</v>
      </c>
      <c r="P106" s="445">
        <f>W106*-1</f>
        <v>-15600</v>
      </c>
      <c r="Q106" s="325">
        <v>0</v>
      </c>
      <c r="R106" s="325">
        <v>0</v>
      </c>
      <c r="S106" s="325">
        <v>0</v>
      </c>
      <c r="T106" s="325">
        <v>0</v>
      </c>
      <c r="U106" s="325">
        <v>0</v>
      </c>
      <c r="V106" s="492">
        <f t="shared" ref="V106:V109" si="260">P106+Q106+R106+S106+T106+U106</f>
        <v>-15600</v>
      </c>
      <c r="W106" s="325">
        <v>15600</v>
      </c>
      <c r="X106" s="325">
        <v>0</v>
      </c>
      <c r="Y106" s="325">
        <v>0</v>
      </c>
      <c r="Z106" s="492">
        <f t="shared" ref="Z106:Z109" si="261">W106+X106+Y106</f>
        <v>15600</v>
      </c>
      <c r="AA106" s="492">
        <f t="shared" ref="AA106:AA109" si="262">V106+Z106</f>
        <v>0</v>
      </c>
      <c r="AB106" s="494">
        <f t="shared" ref="AB106:AB109" si="263">ROUND((V106+Z106)*33.8%,0)</f>
        <v>0</v>
      </c>
      <c r="AC106" s="494">
        <f t="shared" ref="AC106:AC109" si="264">ROUND(V106*1%,0)</f>
        <v>-156</v>
      </c>
      <c r="AD106" s="492">
        <v>0</v>
      </c>
      <c r="AE106" s="753">
        <f t="shared" ref="AE106:AE109" si="265">AA106+AB106+AC106+AD106</f>
        <v>-156</v>
      </c>
      <c r="AF106" s="688">
        <v>-0.02</v>
      </c>
      <c r="AG106" s="326">
        <v>0</v>
      </c>
      <c r="AH106" s="326">
        <v>0</v>
      </c>
      <c r="AI106" s="326">
        <v>0</v>
      </c>
      <c r="AJ106" s="326">
        <v>0</v>
      </c>
      <c r="AK106" s="326">
        <v>0</v>
      </c>
      <c r="AL106" s="609">
        <f t="shared" ref="AL106:AL109" si="266">SUM(AF106:AK106)</f>
        <v>-0.02</v>
      </c>
      <c r="AM106" s="493">
        <f>I106+AE106</f>
        <v>24926930</v>
      </c>
      <c r="AN106" s="492">
        <f>J106+V106</f>
        <v>18453077</v>
      </c>
      <c r="AO106" s="573">
        <f t="shared" ref="AO106:AO109" si="267">K106+Z106</f>
        <v>39000</v>
      </c>
      <c r="AP106" s="492">
        <f t="shared" ref="AP106:AR109" si="268">L106+AB106</f>
        <v>6250322</v>
      </c>
      <c r="AQ106" s="492">
        <f t="shared" si="268"/>
        <v>184531</v>
      </c>
      <c r="AR106" s="573">
        <f t="shared" si="268"/>
        <v>0</v>
      </c>
      <c r="AS106" s="491">
        <f t="shared" ref="AS106:AS109" si="269">O106+AL106</f>
        <v>25.37</v>
      </c>
    </row>
    <row r="107" spans="1:45" s="152" customFormat="1" ht="12.75" customHeight="1" x14ac:dyDescent="0.2">
      <c r="A107" s="154">
        <v>28</v>
      </c>
      <c r="B107" s="155">
        <v>3410</v>
      </c>
      <c r="C107" s="155">
        <v>650038550</v>
      </c>
      <c r="D107" s="155">
        <v>72743191</v>
      </c>
      <c r="E107" s="156" t="s">
        <v>58</v>
      </c>
      <c r="F107" s="155">
        <v>3113</v>
      </c>
      <c r="G107" s="156" t="s">
        <v>799</v>
      </c>
      <c r="H107" s="157" t="s">
        <v>262</v>
      </c>
      <c r="I107" s="610">
        <v>557977</v>
      </c>
      <c r="J107" s="410">
        <v>413930</v>
      </c>
      <c r="K107" s="410">
        <v>0</v>
      </c>
      <c r="L107" s="431">
        <v>139908</v>
      </c>
      <c r="M107" s="431">
        <v>4139</v>
      </c>
      <c r="N107" s="431">
        <v>0</v>
      </c>
      <c r="O107" s="747">
        <v>0.79</v>
      </c>
      <c r="P107" s="445">
        <f>W107*-1</f>
        <v>0</v>
      </c>
      <c r="Q107" s="325">
        <v>0</v>
      </c>
      <c r="R107" s="325">
        <v>0</v>
      </c>
      <c r="S107" s="325">
        <v>0</v>
      </c>
      <c r="T107" s="325">
        <v>0</v>
      </c>
      <c r="U107" s="325">
        <v>0</v>
      </c>
      <c r="V107" s="492">
        <f t="shared" si="260"/>
        <v>0</v>
      </c>
      <c r="W107" s="325">
        <v>0</v>
      </c>
      <c r="X107" s="325">
        <v>0</v>
      </c>
      <c r="Y107" s="325">
        <v>0</v>
      </c>
      <c r="Z107" s="492">
        <f t="shared" si="261"/>
        <v>0</v>
      </c>
      <c r="AA107" s="492">
        <f t="shared" si="262"/>
        <v>0</v>
      </c>
      <c r="AB107" s="494">
        <f t="shared" si="263"/>
        <v>0</v>
      </c>
      <c r="AC107" s="494">
        <f t="shared" si="264"/>
        <v>0</v>
      </c>
      <c r="AD107" s="492">
        <v>0</v>
      </c>
      <c r="AE107" s="753">
        <f t="shared" si="265"/>
        <v>0</v>
      </c>
      <c r="AF107" s="688">
        <v>0</v>
      </c>
      <c r="AG107" s="326">
        <v>0</v>
      </c>
      <c r="AH107" s="326">
        <v>0</v>
      </c>
      <c r="AI107" s="326">
        <v>0</v>
      </c>
      <c r="AJ107" s="326">
        <v>0</v>
      </c>
      <c r="AK107" s="326">
        <v>0</v>
      </c>
      <c r="AL107" s="609">
        <f t="shared" si="266"/>
        <v>0</v>
      </c>
      <c r="AM107" s="493">
        <f>I107+AE107</f>
        <v>557977</v>
      </c>
      <c r="AN107" s="492">
        <f>J107+V107</f>
        <v>413930</v>
      </c>
      <c r="AO107" s="573">
        <f t="shared" si="267"/>
        <v>0</v>
      </c>
      <c r="AP107" s="492">
        <f t="shared" si="268"/>
        <v>139908</v>
      </c>
      <c r="AQ107" s="492">
        <f t="shared" si="268"/>
        <v>4139</v>
      </c>
      <c r="AR107" s="573">
        <f t="shared" si="268"/>
        <v>0</v>
      </c>
      <c r="AS107" s="491">
        <f t="shared" si="269"/>
        <v>0.79</v>
      </c>
    </row>
    <row r="108" spans="1:45" s="152" customFormat="1" x14ac:dyDescent="0.2">
      <c r="A108" s="154">
        <v>28</v>
      </c>
      <c r="B108" s="155">
        <v>3410</v>
      </c>
      <c r="C108" s="155">
        <v>650038550</v>
      </c>
      <c r="D108" s="155">
        <v>72743191</v>
      </c>
      <c r="E108" s="156" t="s">
        <v>58</v>
      </c>
      <c r="F108" s="155">
        <v>3113</v>
      </c>
      <c r="G108" s="156" t="s">
        <v>278</v>
      </c>
      <c r="H108" s="157" t="s">
        <v>263</v>
      </c>
      <c r="I108" s="580">
        <v>3393259</v>
      </c>
      <c r="J108" s="323">
        <v>2517254</v>
      </c>
      <c r="K108" s="410">
        <v>0</v>
      </c>
      <c r="L108" s="431">
        <v>850832</v>
      </c>
      <c r="M108" s="431">
        <v>25173</v>
      </c>
      <c r="N108" s="431">
        <v>0</v>
      </c>
      <c r="O108" s="748">
        <v>6.24</v>
      </c>
      <c r="P108" s="440">
        <f>W108*-1</f>
        <v>0</v>
      </c>
      <c r="Q108" s="325">
        <v>-365972</v>
      </c>
      <c r="R108" s="325">
        <v>0</v>
      </c>
      <c r="S108" s="325">
        <v>0</v>
      </c>
      <c r="T108" s="325">
        <v>0</v>
      </c>
      <c r="U108" s="325">
        <v>0</v>
      </c>
      <c r="V108" s="492">
        <f t="shared" si="260"/>
        <v>-365972</v>
      </c>
      <c r="W108" s="325">
        <v>0</v>
      </c>
      <c r="X108" s="325">
        <v>0</v>
      </c>
      <c r="Y108" s="325">
        <v>0</v>
      </c>
      <c r="Z108" s="492">
        <f t="shared" si="261"/>
        <v>0</v>
      </c>
      <c r="AA108" s="492">
        <f t="shared" si="262"/>
        <v>-365972</v>
      </c>
      <c r="AB108" s="494">
        <f t="shared" si="263"/>
        <v>-123699</v>
      </c>
      <c r="AC108" s="494">
        <f t="shared" si="264"/>
        <v>-3660</v>
      </c>
      <c r="AD108" s="492">
        <v>0</v>
      </c>
      <c r="AE108" s="753">
        <f t="shared" si="265"/>
        <v>-493331</v>
      </c>
      <c r="AF108" s="688">
        <v>0</v>
      </c>
      <c r="AG108" s="326">
        <v>-0.65</v>
      </c>
      <c r="AH108" s="326">
        <v>0</v>
      </c>
      <c r="AI108" s="326">
        <v>0</v>
      </c>
      <c r="AJ108" s="326">
        <v>0</v>
      </c>
      <c r="AK108" s="326">
        <v>0</v>
      </c>
      <c r="AL108" s="609">
        <f t="shared" si="266"/>
        <v>-0.65</v>
      </c>
      <c r="AM108" s="493">
        <f>I108+AE108</f>
        <v>2899928</v>
      </c>
      <c r="AN108" s="492">
        <f>J108+V108</f>
        <v>2151282</v>
      </c>
      <c r="AO108" s="573">
        <f t="shared" si="267"/>
        <v>0</v>
      </c>
      <c r="AP108" s="492">
        <f t="shared" si="268"/>
        <v>727133</v>
      </c>
      <c r="AQ108" s="492">
        <f t="shared" si="268"/>
        <v>21513</v>
      </c>
      <c r="AR108" s="573">
        <f t="shared" si="268"/>
        <v>0</v>
      </c>
      <c r="AS108" s="491">
        <f t="shared" si="269"/>
        <v>5.59</v>
      </c>
    </row>
    <row r="109" spans="1:45" s="152" customFormat="1" ht="12.75" customHeight="1" x14ac:dyDescent="0.2">
      <c r="A109" s="154">
        <v>28</v>
      </c>
      <c r="B109" s="155">
        <v>3410</v>
      </c>
      <c r="C109" s="155">
        <v>650038550</v>
      </c>
      <c r="D109" s="155">
        <v>72743191</v>
      </c>
      <c r="E109" s="156" t="s">
        <v>58</v>
      </c>
      <c r="F109" s="155">
        <v>3143</v>
      </c>
      <c r="G109" s="156" t="s">
        <v>794</v>
      </c>
      <c r="H109" s="157" t="s">
        <v>262</v>
      </c>
      <c r="I109" s="580">
        <v>2804813</v>
      </c>
      <c r="J109" s="323">
        <v>2056304</v>
      </c>
      <c r="K109" s="410">
        <v>24600</v>
      </c>
      <c r="L109" s="431">
        <v>703346</v>
      </c>
      <c r="M109" s="431">
        <v>20563</v>
      </c>
      <c r="N109" s="431">
        <v>0</v>
      </c>
      <c r="O109" s="748">
        <v>3.72</v>
      </c>
      <c r="P109" s="440">
        <f>W109*-1</f>
        <v>-16400</v>
      </c>
      <c r="Q109" s="325">
        <v>0</v>
      </c>
      <c r="R109" s="325">
        <v>0</v>
      </c>
      <c r="S109" s="325">
        <v>0</v>
      </c>
      <c r="T109" s="325">
        <v>0</v>
      </c>
      <c r="U109" s="325">
        <v>0</v>
      </c>
      <c r="V109" s="492">
        <f t="shared" si="260"/>
        <v>-16400</v>
      </c>
      <c r="W109" s="325">
        <v>16400</v>
      </c>
      <c r="X109" s="325">
        <v>0</v>
      </c>
      <c r="Y109" s="325">
        <v>0</v>
      </c>
      <c r="Z109" s="492">
        <f t="shared" si="261"/>
        <v>16400</v>
      </c>
      <c r="AA109" s="492">
        <f t="shared" si="262"/>
        <v>0</v>
      </c>
      <c r="AB109" s="494">
        <f t="shared" si="263"/>
        <v>0</v>
      </c>
      <c r="AC109" s="494">
        <f t="shared" si="264"/>
        <v>-164</v>
      </c>
      <c r="AD109" s="492">
        <v>0</v>
      </c>
      <c r="AE109" s="753">
        <f t="shared" si="265"/>
        <v>-164</v>
      </c>
      <c r="AF109" s="688">
        <v>0</v>
      </c>
      <c r="AG109" s="326">
        <v>0</v>
      </c>
      <c r="AH109" s="326">
        <v>0</v>
      </c>
      <c r="AI109" s="326">
        <v>0</v>
      </c>
      <c r="AJ109" s="326">
        <v>0</v>
      </c>
      <c r="AK109" s="326">
        <v>0</v>
      </c>
      <c r="AL109" s="609">
        <f t="shared" si="266"/>
        <v>0</v>
      </c>
      <c r="AM109" s="493">
        <f>I109+AE109</f>
        <v>2804649</v>
      </c>
      <c r="AN109" s="492">
        <f>J109+V109</f>
        <v>2039904</v>
      </c>
      <c r="AO109" s="573">
        <f t="shared" si="267"/>
        <v>41000</v>
      </c>
      <c r="AP109" s="492">
        <f t="shared" si="268"/>
        <v>703346</v>
      </c>
      <c r="AQ109" s="492">
        <f t="shared" si="268"/>
        <v>20399</v>
      </c>
      <c r="AR109" s="573">
        <f t="shared" si="268"/>
        <v>0</v>
      </c>
      <c r="AS109" s="491">
        <f t="shared" si="269"/>
        <v>3.72</v>
      </c>
    </row>
    <row r="110" spans="1:45" s="152" customFormat="1" ht="12.75" customHeight="1" x14ac:dyDescent="0.2">
      <c r="A110" s="105">
        <v>28</v>
      </c>
      <c r="B110" s="12">
        <v>3410</v>
      </c>
      <c r="C110" s="104">
        <v>650038550</v>
      </c>
      <c r="D110" s="104">
        <v>72743191</v>
      </c>
      <c r="E110" s="153" t="s">
        <v>59</v>
      </c>
      <c r="F110" s="12"/>
      <c r="G110" s="153"/>
      <c r="H110" s="407"/>
      <c r="I110" s="746">
        <v>31683135</v>
      </c>
      <c r="J110" s="378">
        <v>23456165</v>
      </c>
      <c r="K110" s="378">
        <v>48000</v>
      </c>
      <c r="L110" s="378">
        <v>7944408</v>
      </c>
      <c r="M110" s="378">
        <v>234562</v>
      </c>
      <c r="N110" s="378">
        <v>0</v>
      </c>
      <c r="O110" s="340">
        <v>36.14</v>
      </c>
      <c r="P110" s="444">
        <f t="shared" ref="P110:AS110" si="270">SUM(P106:P109)</f>
        <v>-32000</v>
      </c>
      <c r="Q110" s="378">
        <f t="shared" si="270"/>
        <v>-365972</v>
      </c>
      <c r="R110" s="378">
        <f t="shared" si="270"/>
        <v>0</v>
      </c>
      <c r="S110" s="378">
        <f t="shared" si="270"/>
        <v>0</v>
      </c>
      <c r="T110" s="378">
        <f t="shared" si="270"/>
        <v>0</v>
      </c>
      <c r="U110" s="378">
        <f t="shared" si="270"/>
        <v>0</v>
      </c>
      <c r="V110" s="378">
        <f t="shared" si="270"/>
        <v>-397972</v>
      </c>
      <c r="W110" s="378">
        <f t="shared" si="270"/>
        <v>32000</v>
      </c>
      <c r="X110" s="378">
        <f t="shared" si="270"/>
        <v>0</v>
      </c>
      <c r="Y110" s="378">
        <f t="shared" si="270"/>
        <v>0</v>
      </c>
      <c r="Z110" s="378">
        <f t="shared" si="270"/>
        <v>32000</v>
      </c>
      <c r="AA110" s="378">
        <f t="shared" si="270"/>
        <v>-365972</v>
      </c>
      <c r="AB110" s="378">
        <f t="shared" si="270"/>
        <v>-123699</v>
      </c>
      <c r="AC110" s="378">
        <f t="shared" si="270"/>
        <v>-3980</v>
      </c>
      <c r="AD110" s="378">
        <f t="shared" si="270"/>
        <v>0</v>
      </c>
      <c r="AE110" s="752">
        <f t="shared" si="270"/>
        <v>-493651</v>
      </c>
      <c r="AF110" s="754">
        <f t="shared" si="270"/>
        <v>-0.02</v>
      </c>
      <c r="AG110" s="398">
        <f t="shared" si="270"/>
        <v>-0.65</v>
      </c>
      <c r="AH110" s="398">
        <f t="shared" si="270"/>
        <v>0</v>
      </c>
      <c r="AI110" s="398">
        <f t="shared" si="270"/>
        <v>0</v>
      </c>
      <c r="AJ110" s="398">
        <f t="shared" si="270"/>
        <v>0</v>
      </c>
      <c r="AK110" s="398">
        <f t="shared" si="270"/>
        <v>0</v>
      </c>
      <c r="AL110" s="340">
        <f t="shared" si="270"/>
        <v>-0.67</v>
      </c>
      <c r="AM110" s="444">
        <f t="shared" si="270"/>
        <v>31189484</v>
      </c>
      <c r="AN110" s="378">
        <f t="shared" si="270"/>
        <v>23058193</v>
      </c>
      <c r="AO110" s="378">
        <f t="shared" si="270"/>
        <v>80000</v>
      </c>
      <c r="AP110" s="378">
        <f t="shared" si="270"/>
        <v>7820709</v>
      </c>
      <c r="AQ110" s="378">
        <f t="shared" si="270"/>
        <v>230582</v>
      </c>
      <c r="AR110" s="378">
        <f t="shared" si="270"/>
        <v>0</v>
      </c>
      <c r="AS110" s="398">
        <f t="shared" si="270"/>
        <v>35.47</v>
      </c>
    </row>
    <row r="111" spans="1:45" s="152" customFormat="1" ht="12.75" customHeight="1" x14ac:dyDescent="0.2">
      <c r="A111" s="154">
        <v>29</v>
      </c>
      <c r="B111" s="155">
        <v>3455</v>
      </c>
      <c r="C111" s="155">
        <v>651040515</v>
      </c>
      <c r="D111" s="155">
        <v>75122308</v>
      </c>
      <c r="E111" s="156" t="s">
        <v>60</v>
      </c>
      <c r="F111" s="155">
        <v>3231</v>
      </c>
      <c r="G111" s="156" t="s">
        <v>281</v>
      </c>
      <c r="H111" s="157" t="s">
        <v>262</v>
      </c>
      <c r="I111" s="610">
        <v>33751060</v>
      </c>
      <c r="J111" s="410">
        <v>24918768</v>
      </c>
      <c r="K111" s="410">
        <v>120000</v>
      </c>
      <c r="L111" s="431">
        <v>8463104</v>
      </c>
      <c r="M111" s="431">
        <v>249188</v>
      </c>
      <c r="N111" s="431">
        <v>0</v>
      </c>
      <c r="O111" s="747">
        <v>37.519999999999996</v>
      </c>
      <c r="P111" s="445">
        <f>W111*-1</f>
        <v>-80000</v>
      </c>
      <c r="Q111" s="325">
        <v>0</v>
      </c>
      <c r="R111" s="325">
        <v>0</v>
      </c>
      <c r="S111" s="325">
        <v>0</v>
      </c>
      <c r="T111" s="325">
        <v>0</v>
      </c>
      <c r="U111" s="325">
        <v>0</v>
      </c>
      <c r="V111" s="492">
        <f>P111+Q111+R111+S111+T111+U111</f>
        <v>-80000</v>
      </c>
      <c r="W111" s="325">
        <v>80000</v>
      </c>
      <c r="X111" s="325">
        <v>0</v>
      </c>
      <c r="Y111" s="325">
        <v>0</v>
      </c>
      <c r="Z111" s="492">
        <f>W111+X111+Y111</f>
        <v>80000</v>
      </c>
      <c r="AA111" s="492">
        <f>V111+Z111</f>
        <v>0</v>
      </c>
      <c r="AB111" s="494">
        <f>ROUND((V111+Z111)*33.8%,0)</f>
        <v>0</v>
      </c>
      <c r="AC111" s="494">
        <f>ROUND(V111*1%,0)</f>
        <v>-800</v>
      </c>
      <c r="AD111" s="492">
        <v>0</v>
      </c>
      <c r="AE111" s="753">
        <f>AA111+AB111+AC111+AD111</f>
        <v>-800</v>
      </c>
      <c r="AF111" s="688">
        <v>-0.06</v>
      </c>
      <c r="AG111" s="326">
        <v>0</v>
      </c>
      <c r="AH111" s="326">
        <v>0</v>
      </c>
      <c r="AI111" s="326">
        <v>0</v>
      </c>
      <c r="AJ111" s="326">
        <v>0</v>
      </c>
      <c r="AK111" s="326">
        <v>0</v>
      </c>
      <c r="AL111" s="609">
        <f>SUM(AF111:AK111)</f>
        <v>-0.06</v>
      </c>
      <c r="AM111" s="493">
        <f>I111+AE111</f>
        <v>33750260</v>
      </c>
      <c r="AN111" s="492">
        <f>J111+V111</f>
        <v>24838768</v>
      </c>
      <c r="AO111" s="573">
        <f>K111+Z111</f>
        <v>200000</v>
      </c>
      <c r="AP111" s="492">
        <f>L111+AB111</f>
        <v>8463104</v>
      </c>
      <c r="AQ111" s="492">
        <f>M111+AC111</f>
        <v>248388</v>
      </c>
      <c r="AR111" s="573">
        <f>N111+AD111</f>
        <v>0</v>
      </c>
      <c r="AS111" s="491">
        <f>O111+AL111</f>
        <v>37.459999999999994</v>
      </c>
    </row>
    <row r="112" spans="1:45" s="152" customFormat="1" ht="12.75" customHeight="1" x14ac:dyDescent="0.2">
      <c r="A112" s="105">
        <v>29</v>
      </c>
      <c r="B112" s="12">
        <v>3455</v>
      </c>
      <c r="C112" s="104">
        <v>651040515</v>
      </c>
      <c r="D112" s="104">
        <v>75122308</v>
      </c>
      <c r="E112" s="153" t="s">
        <v>61</v>
      </c>
      <c r="F112" s="12"/>
      <c r="G112" s="153"/>
      <c r="H112" s="407"/>
      <c r="I112" s="746">
        <v>33751060</v>
      </c>
      <c r="J112" s="378">
        <v>24918768</v>
      </c>
      <c r="K112" s="378">
        <v>120000</v>
      </c>
      <c r="L112" s="378">
        <v>8463104</v>
      </c>
      <c r="M112" s="378">
        <v>249188</v>
      </c>
      <c r="N112" s="378">
        <v>0</v>
      </c>
      <c r="O112" s="340">
        <v>37.519999999999996</v>
      </c>
      <c r="P112" s="444">
        <f t="shared" ref="P112:AS112" si="271">SUM(P111)</f>
        <v>-80000</v>
      </c>
      <c r="Q112" s="378">
        <f t="shared" si="271"/>
        <v>0</v>
      </c>
      <c r="R112" s="378">
        <f t="shared" si="271"/>
        <v>0</v>
      </c>
      <c r="S112" s="378">
        <f t="shared" si="271"/>
        <v>0</v>
      </c>
      <c r="T112" s="378">
        <f t="shared" si="271"/>
        <v>0</v>
      </c>
      <c r="U112" s="378">
        <f t="shared" si="271"/>
        <v>0</v>
      </c>
      <c r="V112" s="378">
        <f t="shared" si="271"/>
        <v>-80000</v>
      </c>
      <c r="W112" s="378">
        <f t="shared" si="271"/>
        <v>80000</v>
      </c>
      <c r="X112" s="378">
        <f t="shared" si="271"/>
        <v>0</v>
      </c>
      <c r="Y112" s="378">
        <f t="shared" si="271"/>
        <v>0</v>
      </c>
      <c r="Z112" s="378">
        <f t="shared" si="271"/>
        <v>80000</v>
      </c>
      <c r="AA112" s="378">
        <f t="shared" si="271"/>
        <v>0</v>
      </c>
      <c r="AB112" s="378">
        <f t="shared" si="271"/>
        <v>0</v>
      </c>
      <c r="AC112" s="378">
        <f t="shared" si="271"/>
        <v>-800</v>
      </c>
      <c r="AD112" s="378">
        <f t="shared" si="271"/>
        <v>0</v>
      </c>
      <c r="AE112" s="752">
        <f t="shared" si="271"/>
        <v>-800</v>
      </c>
      <c r="AF112" s="754">
        <f t="shared" si="271"/>
        <v>-0.06</v>
      </c>
      <c r="AG112" s="398">
        <f t="shared" si="271"/>
        <v>0</v>
      </c>
      <c r="AH112" s="398">
        <f t="shared" si="271"/>
        <v>0</v>
      </c>
      <c r="AI112" s="398">
        <f t="shared" si="271"/>
        <v>0</v>
      </c>
      <c r="AJ112" s="398">
        <f t="shared" si="271"/>
        <v>0</v>
      </c>
      <c r="AK112" s="398">
        <f t="shared" si="271"/>
        <v>0</v>
      </c>
      <c r="AL112" s="340">
        <f t="shared" si="271"/>
        <v>-0.06</v>
      </c>
      <c r="AM112" s="444">
        <f t="shared" si="271"/>
        <v>33750260</v>
      </c>
      <c r="AN112" s="378">
        <f t="shared" si="271"/>
        <v>24838768</v>
      </c>
      <c r="AO112" s="378">
        <f t="shared" si="271"/>
        <v>200000</v>
      </c>
      <c r="AP112" s="378">
        <f t="shared" si="271"/>
        <v>8463104</v>
      </c>
      <c r="AQ112" s="378">
        <f t="shared" si="271"/>
        <v>248388</v>
      </c>
      <c r="AR112" s="378">
        <f t="shared" si="271"/>
        <v>0</v>
      </c>
      <c r="AS112" s="398">
        <f t="shared" si="271"/>
        <v>37.459999999999994</v>
      </c>
    </row>
    <row r="113" spans="1:45" s="152" customFormat="1" ht="12.75" customHeight="1" x14ac:dyDescent="0.2">
      <c r="A113" s="154">
        <v>30</v>
      </c>
      <c r="B113" s="155">
        <v>3419</v>
      </c>
      <c r="C113" s="155">
        <v>600078434</v>
      </c>
      <c r="D113" s="155">
        <v>72742658</v>
      </c>
      <c r="E113" s="156" t="s">
        <v>62</v>
      </c>
      <c r="F113" s="155">
        <v>3111</v>
      </c>
      <c r="G113" s="156" t="s">
        <v>277</v>
      </c>
      <c r="H113" s="157" t="s">
        <v>262</v>
      </c>
      <c r="I113" s="610">
        <v>2968626</v>
      </c>
      <c r="J113" s="410">
        <v>2202245</v>
      </c>
      <c r="K113" s="410">
        <v>0</v>
      </c>
      <c r="L113" s="431">
        <v>744359</v>
      </c>
      <c r="M113" s="431">
        <v>22022</v>
      </c>
      <c r="N113" s="431">
        <v>0</v>
      </c>
      <c r="O113" s="747">
        <v>3.82</v>
      </c>
      <c r="P113" s="445">
        <f>W113*-1</f>
        <v>0</v>
      </c>
      <c r="Q113" s="325">
        <v>0</v>
      </c>
      <c r="R113" s="325">
        <v>0</v>
      </c>
      <c r="S113" s="325">
        <v>0</v>
      </c>
      <c r="T113" s="325">
        <v>0</v>
      </c>
      <c r="U113" s="325">
        <v>0</v>
      </c>
      <c r="V113" s="492">
        <f t="shared" ref="V113:V117" si="272">P113+Q113+R113+S113+T113+U113</f>
        <v>0</v>
      </c>
      <c r="W113" s="325">
        <v>0</v>
      </c>
      <c r="X113" s="325">
        <v>0</v>
      </c>
      <c r="Y113" s="325">
        <v>0</v>
      </c>
      <c r="Z113" s="492">
        <f t="shared" ref="Z113:Z117" si="273">W113+X113+Y113</f>
        <v>0</v>
      </c>
      <c r="AA113" s="492">
        <f t="shared" ref="AA113:AA117" si="274">V113+Z113</f>
        <v>0</v>
      </c>
      <c r="AB113" s="494">
        <f t="shared" ref="AB113:AB117" si="275">ROUND((V113+Z113)*33.8%,0)</f>
        <v>0</v>
      </c>
      <c r="AC113" s="494">
        <f t="shared" ref="AC113:AC117" si="276">ROUND(V113*1%,0)</f>
        <v>0</v>
      </c>
      <c r="AD113" s="492">
        <v>0</v>
      </c>
      <c r="AE113" s="753">
        <f t="shared" ref="AE113:AE117" si="277">AA113+AB113+AC113+AD113</f>
        <v>0</v>
      </c>
      <c r="AF113" s="688">
        <v>0</v>
      </c>
      <c r="AG113" s="326">
        <v>0</v>
      </c>
      <c r="AH113" s="326">
        <v>0</v>
      </c>
      <c r="AI113" s="326">
        <v>0</v>
      </c>
      <c r="AJ113" s="326">
        <v>0</v>
      </c>
      <c r="AK113" s="326">
        <v>0</v>
      </c>
      <c r="AL113" s="609">
        <f t="shared" ref="AL113:AL117" si="278">SUM(AF113:AK113)</f>
        <v>0</v>
      </c>
      <c r="AM113" s="493">
        <f>I113+AE113</f>
        <v>2968626</v>
      </c>
      <c r="AN113" s="492">
        <f>J113+V113</f>
        <v>2202245</v>
      </c>
      <c r="AO113" s="573">
        <f t="shared" ref="AO113:AO117" si="279">K113+Z113</f>
        <v>0</v>
      </c>
      <c r="AP113" s="492">
        <f t="shared" ref="AP113:AR117" si="280">L113+AB113</f>
        <v>744359</v>
      </c>
      <c r="AQ113" s="492">
        <f t="shared" si="280"/>
        <v>22022</v>
      </c>
      <c r="AR113" s="573">
        <f t="shared" si="280"/>
        <v>0</v>
      </c>
      <c r="AS113" s="491">
        <f t="shared" ref="AS113:AS117" si="281">O113+AL113</f>
        <v>3.82</v>
      </c>
    </row>
    <row r="114" spans="1:45" s="152" customFormat="1" ht="12.75" customHeight="1" x14ac:dyDescent="0.2">
      <c r="A114" s="154">
        <v>30</v>
      </c>
      <c r="B114" s="155">
        <v>3419</v>
      </c>
      <c r="C114" s="155">
        <v>600078434</v>
      </c>
      <c r="D114" s="155">
        <v>72742658</v>
      </c>
      <c r="E114" s="156" t="s">
        <v>62</v>
      </c>
      <c r="F114" s="155">
        <v>3113</v>
      </c>
      <c r="G114" s="156" t="s">
        <v>280</v>
      </c>
      <c r="H114" s="157" t="s">
        <v>262</v>
      </c>
      <c r="I114" s="580">
        <v>12164339</v>
      </c>
      <c r="J114" s="323">
        <v>9005706</v>
      </c>
      <c r="K114" s="410">
        <v>18420</v>
      </c>
      <c r="L114" s="431">
        <v>3050155</v>
      </c>
      <c r="M114" s="431">
        <v>90058</v>
      </c>
      <c r="N114" s="431">
        <v>0</v>
      </c>
      <c r="O114" s="748">
        <v>12.15</v>
      </c>
      <c r="P114" s="440">
        <f>W114*-1</f>
        <v>-12280</v>
      </c>
      <c r="Q114" s="325">
        <v>0</v>
      </c>
      <c r="R114" s="325">
        <v>0</v>
      </c>
      <c r="S114" s="325">
        <v>0</v>
      </c>
      <c r="T114" s="325">
        <v>0</v>
      </c>
      <c r="U114" s="325">
        <v>0</v>
      </c>
      <c r="V114" s="492">
        <f t="shared" si="272"/>
        <v>-12280</v>
      </c>
      <c r="W114" s="325">
        <v>12280</v>
      </c>
      <c r="X114" s="325">
        <v>0</v>
      </c>
      <c r="Y114" s="325">
        <v>0</v>
      </c>
      <c r="Z114" s="492">
        <f t="shared" si="273"/>
        <v>12280</v>
      </c>
      <c r="AA114" s="492">
        <f t="shared" si="274"/>
        <v>0</v>
      </c>
      <c r="AB114" s="494">
        <f t="shared" si="275"/>
        <v>0</v>
      </c>
      <c r="AC114" s="494">
        <f t="shared" si="276"/>
        <v>-123</v>
      </c>
      <c r="AD114" s="492">
        <v>0</v>
      </c>
      <c r="AE114" s="753">
        <f t="shared" si="277"/>
        <v>-123</v>
      </c>
      <c r="AF114" s="688">
        <v>-0.02</v>
      </c>
      <c r="AG114" s="326">
        <v>0</v>
      </c>
      <c r="AH114" s="326">
        <v>0</v>
      </c>
      <c r="AI114" s="326">
        <v>0</v>
      </c>
      <c r="AJ114" s="326">
        <v>0</v>
      </c>
      <c r="AK114" s="326">
        <v>0</v>
      </c>
      <c r="AL114" s="609">
        <f t="shared" si="278"/>
        <v>-0.02</v>
      </c>
      <c r="AM114" s="493">
        <f>I114+AE114</f>
        <v>12164216</v>
      </c>
      <c r="AN114" s="492">
        <f>J114+V114</f>
        <v>8993426</v>
      </c>
      <c r="AO114" s="573">
        <f t="shared" si="279"/>
        <v>30700</v>
      </c>
      <c r="AP114" s="492">
        <f t="shared" si="280"/>
        <v>3050155</v>
      </c>
      <c r="AQ114" s="492">
        <f t="shared" si="280"/>
        <v>89935</v>
      </c>
      <c r="AR114" s="573">
        <f t="shared" si="280"/>
        <v>0</v>
      </c>
      <c r="AS114" s="491">
        <f t="shared" si="281"/>
        <v>12.13</v>
      </c>
    </row>
    <row r="115" spans="1:45" s="152" customFormat="1" x14ac:dyDescent="0.2">
      <c r="A115" s="154">
        <v>30</v>
      </c>
      <c r="B115" s="155">
        <v>3419</v>
      </c>
      <c r="C115" s="155">
        <v>600078434</v>
      </c>
      <c r="D115" s="155">
        <v>72742658</v>
      </c>
      <c r="E115" s="156" t="s">
        <v>62</v>
      </c>
      <c r="F115" s="155">
        <v>3113</v>
      </c>
      <c r="G115" s="156" t="s">
        <v>278</v>
      </c>
      <c r="H115" s="157" t="s">
        <v>263</v>
      </c>
      <c r="I115" s="580">
        <v>1373086</v>
      </c>
      <c r="J115" s="323">
        <v>1018610</v>
      </c>
      <c r="K115" s="410">
        <v>0</v>
      </c>
      <c r="L115" s="431">
        <v>344290</v>
      </c>
      <c r="M115" s="431">
        <v>10186</v>
      </c>
      <c r="N115" s="431">
        <v>0</v>
      </c>
      <c r="O115" s="748">
        <v>2.5499999999999998</v>
      </c>
      <c r="P115" s="440">
        <f>W115*-1</f>
        <v>0</v>
      </c>
      <c r="Q115" s="325">
        <v>0</v>
      </c>
      <c r="R115" s="325">
        <v>0</v>
      </c>
      <c r="S115" s="325">
        <v>0</v>
      </c>
      <c r="T115" s="325">
        <v>0</v>
      </c>
      <c r="U115" s="325">
        <v>0</v>
      </c>
      <c r="V115" s="492">
        <f t="shared" si="272"/>
        <v>0</v>
      </c>
      <c r="W115" s="325">
        <v>0</v>
      </c>
      <c r="X115" s="325">
        <v>0</v>
      </c>
      <c r="Y115" s="325">
        <v>0</v>
      </c>
      <c r="Z115" s="492">
        <f t="shared" si="273"/>
        <v>0</v>
      </c>
      <c r="AA115" s="492">
        <f t="shared" si="274"/>
        <v>0</v>
      </c>
      <c r="AB115" s="494">
        <f t="shared" si="275"/>
        <v>0</v>
      </c>
      <c r="AC115" s="494">
        <f t="shared" si="276"/>
        <v>0</v>
      </c>
      <c r="AD115" s="492">
        <v>0</v>
      </c>
      <c r="AE115" s="753">
        <f t="shared" si="277"/>
        <v>0</v>
      </c>
      <c r="AF115" s="688">
        <v>0</v>
      </c>
      <c r="AG115" s="326">
        <v>0</v>
      </c>
      <c r="AH115" s="326">
        <v>0</v>
      </c>
      <c r="AI115" s="326">
        <v>0</v>
      </c>
      <c r="AJ115" s="326">
        <v>0</v>
      </c>
      <c r="AK115" s="326">
        <v>0</v>
      </c>
      <c r="AL115" s="609">
        <f t="shared" si="278"/>
        <v>0</v>
      </c>
      <c r="AM115" s="493">
        <f>I115+AE115</f>
        <v>1373086</v>
      </c>
      <c r="AN115" s="492">
        <f>J115+V115</f>
        <v>1018610</v>
      </c>
      <c r="AO115" s="573">
        <f t="shared" si="279"/>
        <v>0</v>
      </c>
      <c r="AP115" s="492">
        <f t="shared" si="280"/>
        <v>344290</v>
      </c>
      <c r="AQ115" s="492">
        <f t="shared" si="280"/>
        <v>10186</v>
      </c>
      <c r="AR115" s="573">
        <f t="shared" si="280"/>
        <v>0</v>
      </c>
      <c r="AS115" s="491">
        <f t="shared" si="281"/>
        <v>2.5499999999999998</v>
      </c>
    </row>
    <row r="116" spans="1:45" s="152" customFormat="1" ht="12.75" customHeight="1" x14ac:dyDescent="0.2">
      <c r="A116" s="154">
        <v>30</v>
      </c>
      <c r="B116" s="155">
        <v>3419</v>
      </c>
      <c r="C116" s="155">
        <v>600078434</v>
      </c>
      <c r="D116" s="155">
        <v>72742658</v>
      </c>
      <c r="E116" s="156" t="s">
        <v>62</v>
      </c>
      <c r="F116" s="155">
        <v>3143</v>
      </c>
      <c r="G116" s="156" t="s">
        <v>794</v>
      </c>
      <c r="H116" s="157" t="s">
        <v>262</v>
      </c>
      <c r="I116" s="580">
        <v>1076534</v>
      </c>
      <c r="J116" s="323">
        <v>798616</v>
      </c>
      <c r="K116" s="410">
        <v>0</v>
      </c>
      <c r="L116" s="431">
        <v>269932</v>
      </c>
      <c r="M116" s="431">
        <v>7986</v>
      </c>
      <c r="N116" s="431">
        <v>0</v>
      </c>
      <c r="O116" s="748">
        <v>1.5</v>
      </c>
      <c r="P116" s="440">
        <f>W116*-1</f>
        <v>0</v>
      </c>
      <c r="Q116" s="325">
        <v>0</v>
      </c>
      <c r="R116" s="325">
        <v>0</v>
      </c>
      <c r="S116" s="325">
        <v>0</v>
      </c>
      <c r="T116" s="325">
        <v>0</v>
      </c>
      <c r="U116" s="325">
        <v>0</v>
      </c>
      <c r="V116" s="492">
        <f t="shared" si="272"/>
        <v>0</v>
      </c>
      <c r="W116" s="325">
        <v>0</v>
      </c>
      <c r="X116" s="325">
        <v>0</v>
      </c>
      <c r="Y116" s="325">
        <v>0</v>
      </c>
      <c r="Z116" s="492">
        <f t="shared" si="273"/>
        <v>0</v>
      </c>
      <c r="AA116" s="492">
        <f t="shared" si="274"/>
        <v>0</v>
      </c>
      <c r="AB116" s="494">
        <f t="shared" si="275"/>
        <v>0</v>
      </c>
      <c r="AC116" s="494">
        <f t="shared" si="276"/>
        <v>0</v>
      </c>
      <c r="AD116" s="492">
        <v>0</v>
      </c>
      <c r="AE116" s="753">
        <f t="shared" si="277"/>
        <v>0</v>
      </c>
      <c r="AF116" s="688">
        <v>0</v>
      </c>
      <c r="AG116" s="326">
        <v>0</v>
      </c>
      <c r="AH116" s="326">
        <v>0</v>
      </c>
      <c r="AI116" s="326">
        <v>0</v>
      </c>
      <c r="AJ116" s="326">
        <v>0</v>
      </c>
      <c r="AK116" s="326">
        <v>0</v>
      </c>
      <c r="AL116" s="609">
        <f t="shared" si="278"/>
        <v>0</v>
      </c>
      <c r="AM116" s="493">
        <f>I116+AE116</f>
        <v>1076534</v>
      </c>
      <c r="AN116" s="492">
        <f>J116+V116</f>
        <v>798616</v>
      </c>
      <c r="AO116" s="573">
        <f t="shared" si="279"/>
        <v>0</v>
      </c>
      <c r="AP116" s="492">
        <f t="shared" si="280"/>
        <v>269932</v>
      </c>
      <c r="AQ116" s="492">
        <f t="shared" si="280"/>
        <v>7986</v>
      </c>
      <c r="AR116" s="573">
        <f t="shared" si="280"/>
        <v>0</v>
      </c>
      <c r="AS116" s="491">
        <f t="shared" si="281"/>
        <v>1.5</v>
      </c>
    </row>
    <row r="117" spans="1:45" s="152" customFormat="1" ht="12.75" customHeight="1" x14ac:dyDescent="0.2">
      <c r="A117" s="154">
        <v>30</v>
      </c>
      <c r="B117" s="155">
        <v>3419</v>
      </c>
      <c r="C117" s="155">
        <v>600078434</v>
      </c>
      <c r="D117" s="155">
        <v>72742658</v>
      </c>
      <c r="E117" s="156" t="s">
        <v>62</v>
      </c>
      <c r="F117" s="155">
        <v>3143</v>
      </c>
      <c r="G117" s="156" t="s">
        <v>282</v>
      </c>
      <c r="H117" s="157" t="s">
        <v>263</v>
      </c>
      <c r="I117" s="580">
        <v>186288</v>
      </c>
      <c r="J117" s="323">
        <v>138196</v>
      </c>
      <c r="K117" s="410">
        <v>0</v>
      </c>
      <c r="L117" s="431">
        <v>46710</v>
      </c>
      <c r="M117" s="431">
        <v>1382</v>
      </c>
      <c r="N117" s="431">
        <v>0</v>
      </c>
      <c r="O117" s="748">
        <v>0.26</v>
      </c>
      <c r="P117" s="440">
        <f>W117*-1</f>
        <v>0</v>
      </c>
      <c r="Q117" s="325">
        <v>0</v>
      </c>
      <c r="R117" s="325">
        <v>0</v>
      </c>
      <c r="S117" s="325">
        <v>0</v>
      </c>
      <c r="T117" s="325">
        <v>0</v>
      </c>
      <c r="U117" s="325">
        <v>0</v>
      </c>
      <c r="V117" s="492">
        <f t="shared" si="272"/>
        <v>0</v>
      </c>
      <c r="W117" s="325">
        <v>0</v>
      </c>
      <c r="X117" s="325">
        <v>0</v>
      </c>
      <c r="Y117" s="325">
        <v>0</v>
      </c>
      <c r="Z117" s="492">
        <f t="shared" si="273"/>
        <v>0</v>
      </c>
      <c r="AA117" s="492">
        <f t="shared" si="274"/>
        <v>0</v>
      </c>
      <c r="AB117" s="494">
        <f t="shared" si="275"/>
        <v>0</v>
      </c>
      <c r="AC117" s="494">
        <f t="shared" si="276"/>
        <v>0</v>
      </c>
      <c r="AD117" s="492">
        <v>0</v>
      </c>
      <c r="AE117" s="753">
        <f t="shared" si="277"/>
        <v>0</v>
      </c>
      <c r="AF117" s="688">
        <v>0</v>
      </c>
      <c r="AG117" s="326">
        <v>0</v>
      </c>
      <c r="AH117" s="326">
        <v>0</v>
      </c>
      <c r="AI117" s="326">
        <v>0</v>
      </c>
      <c r="AJ117" s="326">
        <v>0</v>
      </c>
      <c r="AK117" s="326">
        <v>0</v>
      </c>
      <c r="AL117" s="609">
        <f t="shared" si="278"/>
        <v>0</v>
      </c>
      <c r="AM117" s="493">
        <f>I117+AE117</f>
        <v>186288</v>
      </c>
      <c r="AN117" s="492">
        <f>J117+V117</f>
        <v>138196</v>
      </c>
      <c r="AO117" s="573">
        <f t="shared" si="279"/>
        <v>0</v>
      </c>
      <c r="AP117" s="492">
        <f t="shared" si="280"/>
        <v>46710</v>
      </c>
      <c r="AQ117" s="492">
        <f t="shared" si="280"/>
        <v>1382</v>
      </c>
      <c r="AR117" s="573">
        <f t="shared" si="280"/>
        <v>0</v>
      </c>
      <c r="AS117" s="491">
        <f t="shared" si="281"/>
        <v>0.26</v>
      </c>
    </row>
    <row r="118" spans="1:45" s="152" customFormat="1" ht="12.75" customHeight="1" x14ac:dyDescent="0.2">
      <c r="A118" s="105">
        <v>30</v>
      </c>
      <c r="B118" s="12">
        <v>3419</v>
      </c>
      <c r="C118" s="104">
        <v>600078434</v>
      </c>
      <c r="D118" s="104">
        <v>72742658</v>
      </c>
      <c r="E118" s="153" t="s">
        <v>63</v>
      </c>
      <c r="F118" s="12"/>
      <c r="G118" s="153"/>
      <c r="H118" s="407"/>
      <c r="I118" s="746">
        <v>17768873</v>
      </c>
      <c r="J118" s="378">
        <v>13163373</v>
      </c>
      <c r="K118" s="378">
        <v>18420</v>
      </c>
      <c r="L118" s="378">
        <v>4455446</v>
      </c>
      <c r="M118" s="378">
        <v>131634</v>
      </c>
      <c r="N118" s="378">
        <v>0</v>
      </c>
      <c r="O118" s="340">
        <v>20.28</v>
      </c>
      <c r="P118" s="444">
        <f t="shared" ref="P118:AS118" si="282">SUM(P113:P117)</f>
        <v>-12280</v>
      </c>
      <c r="Q118" s="378">
        <f t="shared" si="282"/>
        <v>0</v>
      </c>
      <c r="R118" s="378">
        <f t="shared" si="282"/>
        <v>0</v>
      </c>
      <c r="S118" s="378">
        <f t="shared" si="282"/>
        <v>0</v>
      </c>
      <c r="T118" s="378">
        <f t="shared" si="282"/>
        <v>0</v>
      </c>
      <c r="U118" s="378">
        <f t="shared" si="282"/>
        <v>0</v>
      </c>
      <c r="V118" s="378">
        <f t="shared" si="282"/>
        <v>-12280</v>
      </c>
      <c r="W118" s="378">
        <f t="shared" si="282"/>
        <v>12280</v>
      </c>
      <c r="X118" s="378">
        <f t="shared" si="282"/>
        <v>0</v>
      </c>
      <c r="Y118" s="378">
        <f t="shared" si="282"/>
        <v>0</v>
      </c>
      <c r="Z118" s="378">
        <f t="shared" si="282"/>
        <v>12280</v>
      </c>
      <c r="AA118" s="378">
        <f t="shared" si="282"/>
        <v>0</v>
      </c>
      <c r="AB118" s="378">
        <f t="shared" si="282"/>
        <v>0</v>
      </c>
      <c r="AC118" s="378">
        <f t="shared" si="282"/>
        <v>-123</v>
      </c>
      <c r="AD118" s="378">
        <f t="shared" si="282"/>
        <v>0</v>
      </c>
      <c r="AE118" s="752">
        <f t="shared" si="282"/>
        <v>-123</v>
      </c>
      <c r="AF118" s="754">
        <f t="shared" si="282"/>
        <v>-0.02</v>
      </c>
      <c r="AG118" s="398">
        <f t="shared" si="282"/>
        <v>0</v>
      </c>
      <c r="AH118" s="398">
        <f t="shared" si="282"/>
        <v>0</v>
      </c>
      <c r="AI118" s="398">
        <f t="shared" si="282"/>
        <v>0</v>
      </c>
      <c r="AJ118" s="398">
        <f t="shared" si="282"/>
        <v>0</v>
      </c>
      <c r="AK118" s="398">
        <f t="shared" si="282"/>
        <v>0</v>
      </c>
      <c r="AL118" s="340">
        <f t="shared" si="282"/>
        <v>-0.02</v>
      </c>
      <c r="AM118" s="444">
        <f t="shared" si="282"/>
        <v>17768750</v>
      </c>
      <c r="AN118" s="378">
        <f t="shared" si="282"/>
        <v>13151093</v>
      </c>
      <c r="AO118" s="378">
        <f t="shared" si="282"/>
        <v>30700</v>
      </c>
      <c r="AP118" s="378">
        <f t="shared" si="282"/>
        <v>4455446</v>
      </c>
      <c r="AQ118" s="378">
        <f t="shared" si="282"/>
        <v>131511</v>
      </c>
      <c r="AR118" s="378">
        <f t="shared" si="282"/>
        <v>0</v>
      </c>
      <c r="AS118" s="398">
        <f t="shared" si="282"/>
        <v>20.260000000000002</v>
      </c>
    </row>
    <row r="119" spans="1:45" s="152" customFormat="1" ht="12.75" customHeight="1" x14ac:dyDescent="0.2">
      <c r="A119" s="154">
        <v>31</v>
      </c>
      <c r="B119" s="155">
        <v>3422</v>
      </c>
      <c r="C119" s="155">
        <v>600078591</v>
      </c>
      <c r="D119" s="155">
        <v>72742682</v>
      </c>
      <c r="E119" s="156" t="s">
        <v>64</v>
      </c>
      <c r="F119" s="155">
        <v>3111</v>
      </c>
      <c r="G119" s="156" t="s">
        <v>277</v>
      </c>
      <c r="H119" s="157" t="s">
        <v>262</v>
      </c>
      <c r="I119" s="610">
        <v>2636010</v>
      </c>
      <c r="J119" s="410">
        <v>1955497</v>
      </c>
      <c r="K119" s="410">
        <v>0</v>
      </c>
      <c r="L119" s="431">
        <v>660958</v>
      </c>
      <c r="M119" s="431">
        <v>19555</v>
      </c>
      <c r="N119" s="431">
        <v>0</v>
      </c>
      <c r="O119" s="747">
        <v>3.8</v>
      </c>
      <c r="P119" s="445">
        <f>W119*-1</f>
        <v>0</v>
      </c>
      <c r="Q119" s="325">
        <v>0</v>
      </c>
      <c r="R119" s="325">
        <v>0</v>
      </c>
      <c r="S119" s="325">
        <v>0</v>
      </c>
      <c r="T119" s="325">
        <v>0</v>
      </c>
      <c r="U119" s="325">
        <v>0</v>
      </c>
      <c r="V119" s="492">
        <f t="shared" ref="V119:V122" si="283">P119+Q119+R119+S119+T119+U119</f>
        <v>0</v>
      </c>
      <c r="W119" s="325">
        <v>0</v>
      </c>
      <c r="X119" s="325">
        <v>0</v>
      </c>
      <c r="Y119" s="325">
        <v>0</v>
      </c>
      <c r="Z119" s="492">
        <f t="shared" ref="Z119:Z122" si="284">W119+X119+Y119</f>
        <v>0</v>
      </c>
      <c r="AA119" s="492">
        <f t="shared" ref="AA119:AA122" si="285">V119+Z119</f>
        <v>0</v>
      </c>
      <c r="AB119" s="494">
        <f t="shared" ref="AB119:AB122" si="286">ROUND((V119+Z119)*33.8%,0)</f>
        <v>0</v>
      </c>
      <c r="AC119" s="494">
        <f t="shared" ref="AC119:AC122" si="287">ROUND(V119*1%,0)</f>
        <v>0</v>
      </c>
      <c r="AD119" s="492">
        <v>0</v>
      </c>
      <c r="AE119" s="753">
        <f t="shared" ref="AE119:AE122" si="288">AA119+AB119+AC119+AD119</f>
        <v>0</v>
      </c>
      <c r="AF119" s="688">
        <v>0</v>
      </c>
      <c r="AG119" s="326">
        <v>0</v>
      </c>
      <c r="AH119" s="326">
        <v>0</v>
      </c>
      <c r="AI119" s="326">
        <v>0</v>
      </c>
      <c r="AJ119" s="326">
        <v>0</v>
      </c>
      <c r="AK119" s="326">
        <v>0</v>
      </c>
      <c r="AL119" s="609">
        <f t="shared" ref="AL119:AL122" si="289">SUM(AF119:AK119)</f>
        <v>0</v>
      </c>
      <c r="AM119" s="493">
        <f>I119+AE119</f>
        <v>2636010</v>
      </c>
      <c r="AN119" s="492">
        <f>J119+V119</f>
        <v>1955497</v>
      </c>
      <c r="AO119" s="573">
        <f t="shared" ref="AO119:AO122" si="290">K119+Z119</f>
        <v>0</v>
      </c>
      <c r="AP119" s="492">
        <f t="shared" ref="AP119:AR122" si="291">L119+AB119</f>
        <v>660958</v>
      </c>
      <c r="AQ119" s="492">
        <f t="shared" si="291"/>
        <v>19555</v>
      </c>
      <c r="AR119" s="573">
        <f t="shared" si="291"/>
        <v>0</v>
      </c>
      <c r="AS119" s="491">
        <f t="shared" ref="AS119:AS122" si="292">O119+AL119</f>
        <v>3.8</v>
      </c>
    </row>
    <row r="120" spans="1:45" s="152" customFormat="1" ht="12.75" customHeight="1" x14ac:dyDescent="0.2">
      <c r="A120" s="154">
        <v>31</v>
      </c>
      <c r="B120" s="155">
        <v>3422</v>
      </c>
      <c r="C120" s="155">
        <v>600078591</v>
      </c>
      <c r="D120" s="155">
        <v>72742682</v>
      </c>
      <c r="E120" s="156" t="s">
        <v>64</v>
      </c>
      <c r="F120" s="155">
        <v>3113</v>
      </c>
      <c r="G120" s="156" t="s">
        <v>280</v>
      </c>
      <c r="H120" s="157" t="s">
        <v>262</v>
      </c>
      <c r="I120" s="580">
        <v>7048889</v>
      </c>
      <c r="J120" s="323">
        <v>5229146</v>
      </c>
      <c r="K120" s="410">
        <v>0</v>
      </c>
      <c r="L120" s="431">
        <v>1767451</v>
      </c>
      <c r="M120" s="431">
        <v>52292</v>
      </c>
      <c r="N120" s="431">
        <v>0</v>
      </c>
      <c r="O120" s="748">
        <v>7.7</v>
      </c>
      <c r="P120" s="440">
        <f>W120*-1</f>
        <v>0</v>
      </c>
      <c r="Q120" s="325">
        <v>0</v>
      </c>
      <c r="R120" s="325">
        <v>0</v>
      </c>
      <c r="S120" s="325">
        <v>0</v>
      </c>
      <c r="T120" s="325">
        <v>0</v>
      </c>
      <c r="U120" s="325">
        <v>0</v>
      </c>
      <c r="V120" s="492">
        <f t="shared" si="283"/>
        <v>0</v>
      </c>
      <c r="W120" s="325">
        <v>0</v>
      </c>
      <c r="X120" s="325">
        <v>0</v>
      </c>
      <c r="Y120" s="325">
        <v>0</v>
      </c>
      <c r="Z120" s="492">
        <f t="shared" si="284"/>
        <v>0</v>
      </c>
      <c r="AA120" s="492">
        <f t="shared" si="285"/>
        <v>0</v>
      </c>
      <c r="AB120" s="494">
        <f t="shared" si="286"/>
        <v>0</v>
      </c>
      <c r="AC120" s="494">
        <f t="shared" si="287"/>
        <v>0</v>
      </c>
      <c r="AD120" s="492">
        <v>0</v>
      </c>
      <c r="AE120" s="753">
        <f t="shared" si="288"/>
        <v>0</v>
      </c>
      <c r="AF120" s="688">
        <v>0</v>
      </c>
      <c r="AG120" s="326">
        <v>0</v>
      </c>
      <c r="AH120" s="326">
        <v>0</v>
      </c>
      <c r="AI120" s="326">
        <v>0</v>
      </c>
      <c r="AJ120" s="326">
        <v>0</v>
      </c>
      <c r="AK120" s="326">
        <v>0</v>
      </c>
      <c r="AL120" s="609">
        <f t="shared" si="289"/>
        <v>0</v>
      </c>
      <c r="AM120" s="493">
        <f>I120+AE120</f>
        <v>7048889</v>
      </c>
      <c r="AN120" s="492">
        <f>J120+V120</f>
        <v>5229146</v>
      </c>
      <c r="AO120" s="573">
        <f t="shared" si="290"/>
        <v>0</v>
      </c>
      <c r="AP120" s="492">
        <f t="shared" si="291"/>
        <v>1767451</v>
      </c>
      <c r="AQ120" s="492">
        <f t="shared" si="291"/>
        <v>52292</v>
      </c>
      <c r="AR120" s="573">
        <f t="shared" si="291"/>
        <v>0</v>
      </c>
      <c r="AS120" s="491">
        <f t="shared" si="292"/>
        <v>7.7</v>
      </c>
    </row>
    <row r="121" spans="1:45" s="152" customFormat="1" x14ac:dyDescent="0.2">
      <c r="A121" s="154">
        <v>31</v>
      </c>
      <c r="B121" s="155">
        <v>3422</v>
      </c>
      <c r="C121" s="155">
        <v>600078591</v>
      </c>
      <c r="D121" s="155">
        <v>72742682</v>
      </c>
      <c r="E121" s="156" t="s">
        <v>64</v>
      </c>
      <c r="F121" s="155">
        <v>3113</v>
      </c>
      <c r="G121" s="156" t="s">
        <v>278</v>
      </c>
      <c r="H121" s="157" t="s">
        <v>263</v>
      </c>
      <c r="I121" s="580">
        <v>1411682</v>
      </c>
      <c r="J121" s="323">
        <v>1047242</v>
      </c>
      <c r="K121" s="410">
        <v>0</v>
      </c>
      <c r="L121" s="431">
        <v>353968</v>
      </c>
      <c r="M121" s="431">
        <v>10472</v>
      </c>
      <c r="N121" s="431">
        <v>0</v>
      </c>
      <c r="O121" s="748">
        <v>2.64</v>
      </c>
      <c r="P121" s="440">
        <f>W121*-1</f>
        <v>0</v>
      </c>
      <c r="Q121" s="325">
        <v>0</v>
      </c>
      <c r="R121" s="325">
        <v>0</v>
      </c>
      <c r="S121" s="325">
        <v>0</v>
      </c>
      <c r="T121" s="325">
        <v>0</v>
      </c>
      <c r="U121" s="325">
        <v>0</v>
      </c>
      <c r="V121" s="492">
        <f t="shared" si="283"/>
        <v>0</v>
      </c>
      <c r="W121" s="325">
        <v>0</v>
      </c>
      <c r="X121" s="325">
        <v>0</v>
      </c>
      <c r="Y121" s="325">
        <v>0</v>
      </c>
      <c r="Z121" s="492">
        <f t="shared" si="284"/>
        <v>0</v>
      </c>
      <c r="AA121" s="492">
        <f t="shared" si="285"/>
        <v>0</v>
      </c>
      <c r="AB121" s="494">
        <f t="shared" si="286"/>
        <v>0</v>
      </c>
      <c r="AC121" s="494">
        <f t="shared" si="287"/>
        <v>0</v>
      </c>
      <c r="AD121" s="492">
        <v>0</v>
      </c>
      <c r="AE121" s="753">
        <f t="shared" si="288"/>
        <v>0</v>
      </c>
      <c r="AF121" s="688">
        <v>0</v>
      </c>
      <c r="AG121" s="326">
        <v>0</v>
      </c>
      <c r="AH121" s="326">
        <v>0</v>
      </c>
      <c r="AI121" s="326">
        <v>0</v>
      </c>
      <c r="AJ121" s="326">
        <v>0</v>
      </c>
      <c r="AK121" s="326">
        <v>0</v>
      </c>
      <c r="AL121" s="609">
        <f t="shared" si="289"/>
        <v>0</v>
      </c>
      <c r="AM121" s="493">
        <f>I121+AE121</f>
        <v>1411682</v>
      </c>
      <c r="AN121" s="492">
        <f>J121+V121</f>
        <v>1047242</v>
      </c>
      <c r="AO121" s="573">
        <f t="shared" si="290"/>
        <v>0</v>
      </c>
      <c r="AP121" s="492">
        <f t="shared" si="291"/>
        <v>353968</v>
      </c>
      <c r="AQ121" s="492">
        <f t="shared" si="291"/>
        <v>10472</v>
      </c>
      <c r="AR121" s="573">
        <f t="shared" si="291"/>
        <v>0</v>
      </c>
      <c r="AS121" s="491">
        <f t="shared" si="292"/>
        <v>2.64</v>
      </c>
    </row>
    <row r="122" spans="1:45" s="152" customFormat="1" ht="12.75" customHeight="1" x14ac:dyDescent="0.2">
      <c r="A122" s="154">
        <v>31</v>
      </c>
      <c r="B122" s="155">
        <v>3422</v>
      </c>
      <c r="C122" s="155">
        <v>600078591</v>
      </c>
      <c r="D122" s="155">
        <v>72742682</v>
      </c>
      <c r="E122" s="156" t="s">
        <v>64</v>
      </c>
      <c r="F122" s="155">
        <v>3143</v>
      </c>
      <c r="G122" s="156" t="s">
        <v>795</v>
      </c>
      <c r="H122" s="157" t="s">
        <v>262</v>
      </c>
      <c r="I122" s="580">
        <v>386636</v>
      </c>
      <c r="J122" s="323">
        <v>286822</v>
      </c>
      <c r="K122" s="410">
        <v>0</v>
      </c>
      <c r="L122" s="431">
        <v>96946</v>
      </c>
      <c r="M122" s="431">
        <v>2868</v>
      </c>
      <c r="N122" s="431">
        <v>0</v>
      </c>
      <c r="O122" s="748">
        <v>0.54</v>
      </c>
      <c r="P122" s="440">
        <f>W122*-1</f>
        <v>0</v>
      </c>
      <c r="Q122" s="325">
        <v>0</v>
      </c>
      <c r="R122" s="325">
        <v>0</v>
      </c>
      <c r="S122" s="325">
        <v>0</v>
      </c>
      <c r="T122" s="325">
        <v>0</v>
      </c>
      <c r="U122" s="325">
        <v>0</v>
      </c>
      <c r="V122" s="492">
        <f t="shared" si="283"/>
        <v>0</v>
      </c>
      <c r="W122" s="325">
        <v>0</v>
      </c>
      <c r="X122" s="325">
        <v>0</v>
      </c>
      <c r="Y122" s="325">
        <v>0</v>
      </c>
      <c r="Z122" s="492">
        <f t="shared" si="284"/>
        <v>0</v>
      </c>
      <c r="AA122" s="492">
        <f t="shared" si="285"/>
        <v>0</v>
      </c>
      <c r="AB122" s="494">
        <f t="shared" si="286"/>
        <v>0</v>
      </c>
      <c r="AC122" s="494">
        <f t="shared" si="287"/>
        <v>0</v>
      </c>
      <c r="AD122" s="492">
        <v>0</v>
      </c>
      <c r="AE122" s="753">
        <f t="shared" si="288"/>
        <v>0</v>
      </c>
      <c r="AF122" s="688">
        <v>0</v>
      </c>
      <c r="AG122" s="326">
        <v>0</v>
      </c>
      <c r="AH122" s="326">
        <v>0</v>
      </c>
      <c r="AI122" s="326">
        <v>0</v>
      </c>
      <c r="AJ122" s="326">
        <v>0</v>
      </c>
      <c r="AK122" s="326">
        <v>0</v>
      </c>
      <c r="AL122" s="609">
        <f t="shared" si="289"/>
        <v>0</v>
      </c>
      <c r="AM122" s="493">
        <f>I122+AE122</f>
        <v>386636</v>
      </c>
      <c r="AN122" s="492">
        <f>J122+V122</f>
        <v>286822</v>
      </c>
      <c r="AO122" s="573">
        <f t="shared" si="290"/>
        <v>0</v>
      </c>
      <c r="AP122" s="492">
        <f t="shared" si="291"/>
        <v>96946</v>
      </c>
      <c r="AQ122" s="492">
        <f t="shared" si="291"/>
        <v>2868</v>
      </c>
      <c r="AR122" s="573">
        <f t="shared" si="291"/>
        <v>0</v>
      </c>
      <c r="AS122" s="491">
        <f t="shared" si="292"/>
        <v>0.54</v>
      </c>
    </row>
    <row r="123" spans="1:45" s="152" customFormat="1" ht="12.75" customHeight="1" x14ac:dyDescent="0.2">
      <c r="A123" s="105">
        <v>31</v>
      </c>
      <c r="B123" s="12">
        <v>3422</v>
      </c>
      <c r="C123" s="104">
        <v>600078591</v>
      </c>
      <c r="D123" s="104">
        <v>72742682</v>
      </c>
      <c r="E123" s="153" t="s">
        <v>65</v>
      </c>
      <c r="F123" s="12"/>
      <c r="G123" s="153"/>
      <c r="H123" s="407"/>
      <c r="I123" s="746">
        <v>11483217</v>
      </c>
      <c r="J123" s="378">
        <v>8518707</v>
      </c>
      <c r="K123" s="378">
        <v>0</v>
      </c>
      <c r="L123" s="378">
        <v>2879323</v>
      </c>
      <c r="M123" s="378">
        <v>85187</v>
      </c>
      <c r="N123" s="378">
        <v>0</v>
      </c>
      <c r="O123" s="340">
        <v>14.68</v>
      </c>
      <c r="P123" s="444">
        <f t="shared" ref="P123:AS123" si="293">SUM(P119:P122)</f>
        <v>0</v>
      </c>
      <c r="Q123" s="378">
        <f t="shared" si="293"/>
        <v>0</v>
      </c>
      <c r="R123" s="378">
        <f t="shared" si="293"/>
        <v>0</v>
      </c>
      <c r="S123" s="378">
        <f t="shared" si="293"/>
        <v>0</v>
      </c>
      <c r="T123" s="378">
        <f t="shared" si="293"/>
        <v>0</v>
      </c>
      <c r="U123" s="378">
        <f t="shared" si="293"/>
        <v>0</v>
      </c>
      <c r="V123" s="378">
        <f t="shared" si="293"/>
        <v>0</v>
      </c>
      <c r="W123" s="378">
        <f t="shared" si="293"/>
        <v>0</v>
      </c>
      <c r="X123" s="378">
        <f t="shared" si="293"/>
        <v>0</v>
      </c>
      <c r="Y123" s="378">
        <f t="shared" si="293"/>
        <v>0</v>
      </c>
      <c r="Z123" s="378">
        <f t="shared" si="293"/>
        <v>0</v>
      </c>
      <c r="AA123" s="378">
        <f t="shared" si="293"/>
        <v>0</v>
      </c>
      <c r="AB123" s="378">
        <f t="shared" si="293"/>
        <v>0</v>
      </c>
      <c r="AC123" s="378">
        <f t="shared" si="293"/>
        <v>0</v>
      </c>
      <c r="AD123" s="378">
        <f t="shared" si="293"/>
        <v>0</v>
      </c>
      <c r="AE123" s="752">
        <f t="shared" si="293"/>
        <v>0</v>
      </c>
      <c r="AF123" s="754">
        <f t="shared" si="293"/>
        <v>0</v>
      </c>
      <c r="AG123" s="398">
        <f t="shared" si="293"/>
        <v>0</v>
      </c>
      <c r="AH123" s="398">
        <f t="shared" si="293"/>
        <v>0</v>
      </c>
      <c r="AI123" s="398">
        <f t="shared" si="293"/>
        <v>0</v>
      </c>
      <c r="AJ123" s="398">
        <f t="shared" si="293"/>
        <v>0</v>
      </c>
      <c r="AK123" s="398">
        <f t="shared" si="293"/>
        <v>0</v>
      </c>
      <c r="AL123" s="340">
        <f t="shared" si="293"/>
        <v>0</v>
      </c>
      <c r="AM123" s="444">
        <f t="shared" si="293"/>
        <v>11483217</v>
      </c>
      <c r="AN123" s="378">
        <f t="shared" si="293"/>
        <v>8518707</v>
      </c>
      <c r="AO123" s="378">
        <f t="shared" si="293"/>
        <v>0</v>
      </c>
      <c r="AP123" s="378">
        <f t="shared" si="293"/>
        <v>2879323</v>
      </c>
      <c r="AQ123" s="378">
        <f t="shared" si="293"/>
        <v>85187</v>
      </c>
      <c r="AR123" s="378">
        <f t="shared" si="293"/>
        <v>0</v>
      </c>
      <c r="AS123" s="398">
        <f t="shared" si="293"/>
        <v>14.68</v>
      </c>
    </row>
    <row r="124" spans="1:45" s="152" customFormat="1" ht="12.75" customHeight="1" x14ac:dyDescent="0.2">
      <c r="A124" s="154">
        <v>32</v>
      </c>
      <c r="B124" s="155">
        <v>3426</v>
      </c>
      <c r="C124" s="155">
        <v>600078019</v>
      </c>
      <c r="D124" s="155">
        <v>72742470</v>
      </c>
      <c r="E124" s="156" t="s">
        <v>66</v>
      </c>
      <c r="F124" s="155">
        <v>3111</v>
      </c>
      <c r="G124" s="156" t="s">
        <v>277</v>
      </c>
      <c r="H124" s="157" t="s">
        <v>262</v>
      </c>
      <c r="I124" s="610">
        <v>4920718</v>
      </c>
      <c r="J124" s="410">
        <v>3650384</v>
      </c>
      <c r="K124" s="410">
        <v>0</v>
      </c>
      <c r="L124" s="431">
        <v>1233830</v>
      </c>
      <c r="M124" s="431">
        <v>36504</v>
      </c>
      <c r="N124" s="431">
        <v>0</v>
      </c>
      <c r="O124" s="747">
        <v>6</v>
      </c>
      <c r="P124" s="445">
        <f>W124*-1</f>
        <v>0</v>
      </c>
      <c r="Q124" s="325">
        <v>0</v>
      </c>
      <c r="R124" s="325">
        <v>0</v>
      </c>
      <c r="S124" s="325">
        <v>0</v>
      </c>
      <c r="T124" s="325">
        <v>0</v>
      </c>
      <c r="U124" s="325">
        <v>0</v>
      </c>
      <c r="V124" s="492">
        <f t="shared" ref="V124:V125" si="294">P124+Q124+R124+S124+T124+U124</f>
        <v>0</v>
      </c>
      <c r="W124" s="325">
        <v>0</v>
      </c>
      <c r="X124" s="325">
        <v>0</v>
      </c>
      <c r="Y124" s="325">
        <v>0</v>
      </c>
      <c r="Z124" s="492">
        <f t="shared" ref="Z124:Z125" si="295">W124+X124+Y124</f>
        <v>0</v>
      </c>
      <c r="AA124" s="492">
        <f t="shared" ref="AA124:AA125" si="296">V124+Z124</f>
        <v>0</v>
      </c>
      <c r="AB124" s="494">
        <f t="shared" ref="AB124:AB125" si="297">ROUND((V124+Z124)*33.8%,0)</f>
        <v>0</v>
      </c>
      <c r="AC124" s="494">
        <f t="shared" ref="AC124:AC125" si="298">ROUND(V124*1%,0)</f>
        <v>0</v>
      </c>
      <c r="AD124" s="492">
        <v>0</v>
      </c>
      <c r="AE124" s="753">
        <f t="shared" ref="AE124:AE125" si="299">AA124+AB124+AC124+AD124</f>
        <v>0</v>
      </c>
      <c r="AF124" s="688">
        <v>0</v>
      </c>
      <c r="AG124" s="326">
        <v>0</v>
      </c>
      <c r="AH124" s="326">
        <v>0</v>
      </c>
      <c r="AI124" s="326">
        <v>0</v>
      </c>
      <c r="AJ124" s="326">
        <v>0</v>
      </c>
      <c r="AK124" s="326">
        <v>0</v>
      </c>
      <c r="AL124" s="609">
        <f t="shared" ref="AL124:AL125" si="300">SUM(AF124:AK124)</f>
        <v>0</v>
      </c>
      <c r="AM124" s="493">
        <f>I124+AE124</f>
        <v>4920718</v>
      </c>
      <c r="AN124" s="492">
        <f>J124+V124</f>
        <v>3650384</v>
      </c>
      <c r="AO124" s="573">
        <f t="shared" ref="AO124:AO125" si="301">K124+Z124</f>
        <v>0</v>
      </c>
      <c r="AP124" s="492">
        <f>L124+AB124</f>
        <v>1233830</v>
      </c>
      <c r="AQ124" s="492">
        <f>M124+AC124</f>
        <v>36504</v>
      </c>
      <c r="AR124" s="573">
        <f t="shared" ref="AR124:AR125" si="302">N124+AD124</f>
        <v>0</v>
      </c>
      <c r="AS124" s="491">
        <f t="shared" ref="AS124:AS125" si="303">O124+AL124</f>
        <v>6</v>
      </c>
    </row>
    <row r="125" spans="1:45" s="152" customFormat="1" x14ac:dyDescent="0.2">
      <c r="A125" s="154">
        <v>32</v>
      </c>
      <c r="B125" s="155">
        <v>3426</v>
      </c>
      <c r="C125" s="155">
        <v>600078019</v>
      </c>
      <c r="D125" s="155">
        <v>72742470</v>
      </c>
      <c r="E125" s="156" t="s">
        <v>66</v>
      </c>
      <c r="F125" s="155">
        <v>3111</v>
      </c>
      <c r="G125" s="156" t="s">
        <v>278</v>
      </c>
      <c r="H125" s="157" t="s">
        <v>263</v>
      </c>
      <c r="I125" s="580">
        <v>936163</v>
      </c>
      <c r="J125" s="323">
        <v>694483</v>
      </c>
      <c r="K125" s="410">
        <v>0</v>
      </c>
      <c r="L125" s="431">
        <v>234735</v>
      </c>
      <c r="M125" s="431">
        <v>6945</v>
      </c>
      <c r="N125" s="431">
        <v>0</v>
      </c>
      <c r="O125" s="748">
        <v>1.75</v>
      </c>
      <c r="P125" s="440">
        <f>W125*-1</f>
        <v>0</v>
      </c>
      <c r="Q125" s="325">
        <v>0</v>
      </c>
      <c r="R125" s="325">
        <v>0</v>
      </c>
      <c r="S125" s="325">
        <v>0</v>
      </c>
      <c r="T125" s="325">
        <v>0</v>
      </c>
      <c r="U125" s="325">
        <v>0</v>
      </c>
      <c r="V125" s="492">
        <f t="shared" si="294"/>
        <v>0</v>
      </c>
      <c r="W125" s="325">
        <v>0</v>
      </c>
      <c r="X125" s="325">
        <v>0</v>
      </c>
      <c r="Y125" s="325">
        <v>0</v>
      </c>
      <c r="Z125" s="492">
        <f t="shared" si="295"/>
        <v>0</v>
      </c>
      <c r="AA125" s="492">
        <f t="shared" si="296"/>
        <v>0</v>
      </c>
      <c r="AB125" s="494">
        <f t="shared" si="297"/>
        <v>0</v>
      </c>
      <c r="AC125" s="494">
        <f t="shared" si="298"/>
        <v>0</v>
      </c>
      <c r="AD125" s="492">
        <v>0</v>
      </c>
      <c r="AE125" s="753">
        <f t="shared" si="299"/>
        <v>0</v>
      </c>
      <c r="AF125" s="688">
        <v>0</v>
      </c>
      <c r="AG125" s="326">
        <v>0</v>
      </c>
      <c r="AH125" s="326">
        <v>0</v>
      </c>
      <c r="AI125" s="326">
        <v>0</v>
      </c>
      <c r="AJ125" s="326">
        <v>0</v>
      </c>
      <c r="AK125" s="326">
        <v>0</v>
      </c>
      <c r="AL125" s="609">
        <f t="shared" si="300"/>
        <v>0</v>
      </c>
      <c r="AM125" s="493">
        <f>I125+AE125</f>
        <v>936163</v>
      </c>
      <c r="AN125" s="492">
        <f>J125+V125</f>
        <v>694483</v>
      </c>
      <c r="AO125" s="573">
        <f t="shared" si="301"/>
        <v>0</v>
      </c>
      <c r="AP125" s="492">
        <f>L125+AB125</f>
        <v>234735</v>
      </c>
      <c r="AQ125" s="492">
        <f>M125+AC125</f>
        <v>6945</v>
      </c>
      <c r="AR125" s="573">
        <f t="shared" si="302"/>
        <v>0</v>
      </c>
      <c r="AS125" s="491">
        <f t="shared" si="303"/>
        <v>1.75</v>
      </c>
    </row>
    <row r="126" spans="1:45" s="152" customFormat="1" ht="12.75" customHeight="1" x14ac:dyDescent="0.2">
      <c r="A126" s="105">
        <v>32</v>
      </c>
      <c r="B126" s="12">
        <v>3426</v>
      </c>
      <c r="C126" s="104">
        <v>600078019</v>
      </c>
      <c r="D126" s="104">
        <v>72742470</v>
      </c>
      <c r="E126" s="153" t="s">
        <v>67</v>
      </c>
      <c r="F126" s="12"/>
      <c r="G126" s="153"/>
      <c r="H126" s="407"/>
      <c r="I126" s="746">
        <v>5856881</v>
      </c>
      <c r="J126" s="378">
        <v>4344867</v>
      </c>
      <c r="K126" s="378">
        <v>0</v>
      </c>
      <c r="L126" s="378">
        <v>1468565</v>
      </c>
      <c r="M126" s="378">
        <v>43449</v>
      </c>
      <c r="N126" s="378">
        <v>0</v>
      </c>
      <c r="O126" s="340">
        <v>7.75</v>
      </c>
      <c r="P126" s="444">
        <f t="shared" ref="P126:AS126" si="304">SUM(P124:P125)</f>
        <v>0</v>
      </c>
      <c r="Q126" s="378">
        <f t="shared" si="304"/>
        <v>0</v>
      </c>
      <c r="R126" s="378">
        <f t="shared" si="304"/>
        <v>0</v>
      </c>
      <c r="S126" s="378">
        <f t="shared" si="304"/>
        <v>0</v>
      </c>
      <c r="T126" s="378">
        <f t="shared" si="304"/>
        <v>0</v>
      </c>
      <c r="U126" s="378">
        <f t="shared" si="304"/>
        <v>0</v>
      </c>
      <c r="V126" s="378">
        <f t="shared" si="304"/>
        <v>0</v>
      </c>
      <c r="W126" s="378">
        <f t="shared" si="304"/>
        <v>0</v>
      </c>
      <c r="X126" s="378">
        <f t="shared" si="304"/>
        <v>0</v>
      </c>
      <c r="Y126" s="378">
        <f t="shared" si="304"/>
        <v>0</v>
      </c>
      <c r="Z126" s="378">
        <f t="shared" si="304"/>
        <v>0</v>
      </c>
      <c r="AA126" s="378">
        <f t="shared" si="304"/>
        <v>0</v>
      </c>
      <c r="AB126" s="378">
        <f t="shared" si="304"/>
        <v>0</v>
      </c>
      <c r="AC126" s="378">
        <f t="shared" si="304"/>
        <v>0</v>
      </c>
      <c r="AD126" s="378">
        <f t="shared" si="304"/>
        <v>0</v>
      </c>
      <c r="AE126" s="752">
        <f t="shared" si="304"/>
        <v>0</v>
      </c>
      <c r="AF126" s="754">
        <f t="shared" si="304"/>
        <v>0</v>
      </c>
      <c r="AG126" s="398">
        <f t="shared" si="304"/>
        <v>0</v>
      </c>
      <c r="AH126" s="398">
        <f t="shared" si="304"/>
        <v>0</v>
      </c>
      <c r="AI126" s="398">
        <f t="shared" si="304"/>
        <v>0</v>
      </c>
      <c r="AJ126" s="398">
        <f t="shared" si="304"/>
        <v>0</v>
      </c>
      <c r="AK126" s="398">
        <f t="shared" si="304"/>
        <v>0</v>
      </c>
      <c r="AL126" s="340">
        <f t="shared" si="304"/>
        <v>0</v>
      </c>
      <c r="AM126" s="444">
        <f t="shared" si="304"/>
        <v>5856881</v>
      </c>
      <c r="AN126" s="378">
        <f t="shared" si="304"/>
        <v>4344867</v>
      </c>
      <c r="AO126" s="378">
        <f t="shared" si="304"/>
        <v>0</v>
      </c>
      <c r="AP126" s="378">
        <f t="shared" si="304"/>
        <v>1468565</v>
      </c>
      <c r="AQ126" s="378">
        <f t="shared" si="304"/>
        <v>43449</v>
      </c>
      <c r="AR126" s="378">
        <f t="shared" si="304"/>
        <v>0</v>
      </c>
      <c r="AS126" s="398">
        <f t="shared" si="304"/>
        <v>7.75</v>
      </c>
    </row>
    <row r="127" spans="1:45" s="152" customFormat="1" ht="12.75" customHeight="1" x14ac:dyDescent="0.2">
      <c r="A127" s="154">
        <v>33</v>
      </c>
      <c r="B127" s="155">
        <v>3425</v>
      </c>
      <c r="C127" s="155">
        <v>600078451</v>
      </c>
      <c r="D127" s="155">
        <v>72742551</v>
      </c>
      <c r="E127" s="156" t="s">
        <v>68</v>
      </c>
      <c r="F127" s="155">
        <v>3113</v>
      </c>
      <c r="G127" s="156" t="s">
        <v>280</v>
      </c>
      <c r="H127" s="157" t="s">
        <v>262</v>
      </c>
      <c r="I127" s="610">
        <v>12042698</v>
      </c>
      <c r="J127" s="410">
        <v>8922318</v>
      </c>
      <c r="K127" s="410">
        <v>11520</v>
      </c>
      <c r="L127" s="431">
        <v>3019637</v>
      </c>
      <c r="M127" s="431">
        <v>89223</v>
      </c>
      <c r="N127" s="431">
        <v>0</v>
      </c>
      <c r="O127" s="747">
        <v>12.32</v>
      </c>
      <c r="P127" s="445">
        <f>W127*-1</f>
        <v>-7680</v>
      </c>
      <c r="Q127" s="325">
        <v>0</v>
      </c>
      <c r="R127" s="325">
        <v>0</v>
      </c>
      <c r="S127" s="325">
        <v>0</v>
      </c>
      <c r="T127" s="325">
        <v>0</v>
      </c>
      <c r="U127" s="325">
        <v>0</v>
      </c>
      <c r="V127" s="492">
        <f t="shared" ref="V127:V129" si="305">P127+Q127+R127+S127+T127+U127</f>
        <v>-7680</v>
      </c>
      <c r="W127" s="325">
        <v>7680</v>
      </c>
      <c r="X127" s="325">
        <v>0</v>
      </c>
      <c r="Y127" s="325">
        <v>0</v>
      </c>
      <c r="Z127" s="492">
        <f t="shared" ref="Z127:Z129" si="306">W127+X127+Y127</f>
        <v>7680</v>
      </c>
      <c r="AA127" s="492">
        <f t="shared" ref="AA127:AA129" si="307">V127+Z127</f>
        <v>0</v>
      </c>
      <c r="AB127" s="494">
        <f t="shared" ref="AB127:AB129" si="308">ROUND((V127+Z127)*33.8%,0)</f>
        <v>0</v>
      </c>
      <c r="AC127" s="494">
        <f t="shared" ref="AC127:AC129" si="309">ROUND(V127*1%,0)</f>
        <v>-77</v>
      </c>
      <c r="AD127" s="492">
        <v>0</v>
      </c>
      <c r="AE127" s="753">
        <f t="shared" ref="AE127:AE129" si="310">AA127+AB127+AC127+AD127</f>
        <v>-77</v>
      </c>
      <c r="AF127" s="688">
        <v>-0.01</v>
      </c>
      <c r="AG127" s="326">
        <v>0</v>
      </c>
      <c r="AH127" s="326">
        <v>0</v>
      </c>
      <c r="AI127" s="326">
        <v>0</v>
      </c>
      <c r="AJ127" s="326">
        <v>0</v>
      </c>
      <c r="AK127" s="326">
        <v>0</v>
      </c>
      <c r="AL127" s="609">
        <f t="shared" ref="AL127:AL129" si="311">SUM(AF127:AK127)</f>
        <v>-0.01</v>
      </c>
      <c r="AM127" s="493">
        <f>I127+AE127</f>
        <v>12042621</v>
      </c>
      <c r="AN127" s="492">
        <f>J127+V127</f>
        <v>8914638</v>
      </c>
      <c r="AO127" s="573">
        <f t="shared" ref="AO127:AO129" si="312">K127+Z127</f>
        <v>19200</v>
      </c>
      <c r="AP127" s="492">
        <f t="shared" ref="AP127:AR129" si="313">L127+AB127</f>
        <v>3019637</v>
      </c>
      <c r="AQ127" s="492">
        <f t="shared" si="313"/>
        <v>89146</v>
      </c>
      <c r="AR127" s="573">
        <f t="shared" si="313"/>
        <v>0</v>
      </c>
      <c r="AS127" s="491">
        <f t="shared" ref="AS127:AS129" si="314">O127+AL127</f>
        <v>12.31</v>
      </c>
    </row>
    <row r="128" spans="1:45" s="152" customFormat="1" x14ac:dyDescent="0.2">
      <c r="A128" s="154">
        <v>33</v>
      </c>
      <c r="B128" s="155">
        <v>3425</v>
      </c>
      <c r="C128" s="155">
        <v>600078451</v>
      </c>
      <c r="D128" s="155">
        <v>72742551</v>
      </c>
      <c r="E128" s="156" t="s">
        <v>68</v>
      </c>
      <c r="F128" s="155">
        <v>3113</v>
      </c>
      <c r="G128" s="156" t="s">
        <v>278</v>
      </c>
      <c r="H128" s="157" t="s">
        <v>263</v>
      </c>
      <c r="I128" s="580">
        <v>1994325</v>
      </c>
      <c r="J128" s="323">
        <v>1479469</v>
      </c>
      <c r="K128" s="410">
        <v>0</v>
      </c>
      <c r="L128" s="431">
        <v>500061</v>
      </c>
      <c r="M128" s="431">
        <v>14795</v>
      </c>
      <c r="N128" s="431">
        <v>0</v>
      </c>
      <c r="O128" s="748">
        <v>3.68</v>
      </c>
      <c r="P128" s="440">
        <f>W128*-1</f>
        <v>0</v>
      </c>
      <c r="Q128" s="325">
        <v>0</v>
      </c>
      <c r="R128" s="325">
        <v>0</v>
      </c>
      <c r="S128" s="325">
        <v>0</v>
      </c>
      <c r="T128" s="325">
        <v>0</v>
      </c>
      <c r="U128" s="325">
        <v>0</v>
      </c>
      <c r="V128" s="492">
        <f t="shared" si="305"/>
        <v>0</v>
      </c>
      <c r="W128" s="325">
        <v>0</v>
      </c>
      <c r="X128" s="325">
        <v>0</v>
      </c>
      <c r="Y128" s="325">
        <v>0</v>
      </c>
      <c r="Z128" s="492">
        <f t="shared" si="306"/>
        <v>0</v>
      </c>
      <c r="AA128" s="492">
        <f t="shared" si="307"/>
        <v>0</v>
      </c>
      <c r="AB128" s="494">
        <f t="shared" si="308"/>
        <v>0</v>
      </c>
      <c r="AC128" s="494">
        <f t="shared" si="309"/>
        <v>0</v>
      </c>
      <c r="AD128" s="492">
        <v>0</v>
      </c>
      <c r="AE128" s="753">
        <f t="shared" si="310"/>
        <v>0</v>
      </c>
      <c r="AF128" s="688">
        <v>0</v>
      </c>
      <c r="AG128" s="326">
        <v>0</v>
      </c>
      <c r="AH128" s="326">
        <v>0</v>
      </c>
      <c r="AI128" s="326">
        <v>0</v>
      </c>
      <c r="AJ128" s="326">
        <v>0</v>
      </c>
      <c r="AK128" s="326">
        <v>0</v>
      </c>
      <c r="AL128" s="609">
        <f t="shared" si="311"/>
        <v>0</v>
      </c>
      <c r="AM128" s="493">
        <f>I128+AE128</f>
        <v>1994325</v>
      </c>
      <c r="AN128" s="492">
        <f>J128+V128</f>
        <v>1479469</v>
      </c>
      <c r="AO128" s="573">
        <f t="shared" si="312"/>
        <v>0</v>
      </c>
      <c r="AP128" s="492">
        <f t="shared" si="313"/>
        <v>500061</v>
      </c>
      <c r="AQ128" s="492">
        <f t="shared" si="313"/>
        <v>14795</v>
      </c>
      <c r="AR128" s="573">
        <f t="shared" si="313"/>
        <v>0</v>
      </c>
      <c r="AS128" s="491">
        <f t="shared" si="314"/>
        <v>3.68</v>
      </c>
    </row>
    <row r="129" spans="1:45" s="152" customFormat="1" ht="12.75" customHeight="1" x14ac:dyDescent="0.2">
      <c r="A129" s="154">
        <v>33</v>
      </c>
      <c r="B129" s="155">
        <v>3425</v>
      </c>
      <c r="C129" s="155">
        <v>600078451</v>
      </c>
      <c r="D129" s="155">
        <v>72742551</v>
      </c>
      <c r="E129" s="156" t="s">
        <v>68</v>
      </c>
      <c r="F129" s="155">
        <v>3143</v>
      </c>
      <c r="G129" s="156" t="s">
        <v>794</v>
      </c>
      <c r="H129" s="157" t="s">
        <v>262</v>
      </c>
      <c r="I129" s="580">
        <v>1530781</v>
      </c>
      <c r="J129" s="323">
        <v>1135594</v>
      </c>
      <c r="K129" s="410">
        <v>0</v>
      </c>
      <c r="L129" s="431">
        <v>383831</v>
      </c>
      <c r="M129" s="431">
        <v>11356</v>
      </c>
      <c r="N129" s="431">
        <v>0</v>
      </c>
      <c r="O129" s="748">
        <v>2</v>
      </c>
      <c r="P129" s="440">
        <f>W129*-1</f>
        <v>0</v>
      </c>
      <c r="Q129" s="325">
        <v>0</v>
      </c>
      <c r="R129" s="325">
        <v>0</v>
      </c>
      <c r="S129" s="325">
        <v>0</v>
      </c>
      <c r="T129" s="325">
        <v>0</v>
      </c>
      <c r="U129" s="325">
        <v>0</v>
      </c>
      <c r="V129" s="492">
        <f t="shared" si="305"/>
        <v>0</v>
      </c>
      <c r="W129" s="325">
        <v>0</v>
      </c>
      <c r="X129" s="325">
        <v>0</v>
      </c>
      <c r="Y129" s="325">
        <v>0</v>
      </c>
      <c r="Z129" s="492">
        <f t="shared" si="306"/>
        <v>0</v>
      </c>
      <c r="AA129" s="492">
        <f t="shared" si="307"/>
        <v>0</v>
      </c>
      <c r="AB129" s="494">
        <f t="shared" si="308"/>
        <v>0</v>
      </c>
      <c r="AC129" s="494">
        <f t="shared" si="309"/>
        <v>0</v>
      </c>
      <c r="AD129" s="492">
        <v>0</v>
      </c>
      <c r="AE129" s="753">
        <f t="shared" si="310"/>
        <v>0</v>
      </c>
      <c r="AF129" s="688">
        <v>0</v>
      </c>
      <c r="AG129" s="326">
        <v>0</v>
      </c>
      <c r="AH129" s="326">
        <v>0</v>
      </c>
      <c r="AI129" s="326">
        <v>0</v>
      </c>
      <c r="AJ129" s="326">
        <v>0</v>
      </c>
      <c r="AK129" s="326">
        <v>0</v>
      </c>
      <c r="AL129" s="609">
        <f t="shared" si="311"/>
        <v>0</v>
      </c>
      <c r="AM129" s="493">
        <f>I129+AE129</f>
        <v>1530781</v>
      </c>
      <c r="AN129" s="492">
        <f>J129+V129</f>
        <v>1135594</v>
      </c>
      <c r="AO129" s="573">
        <f t="shared" si="312"/>
        <v>0</v>
      </c>
      <c r="AP129" s="492">
        <f t="shared" si="313"/>
        <v>383831</v>
      </c>
      <c r="AQ129" s="492">
        <f t="shared" si="313"/>
        <v>11356</v>
      </c>
      <c r="AR129" s="573">
        <f t="shared" si="313"/>
        <v>0</v>
      </c>
      <c r="AS129" s="491">
        <f t="shared" si="314"/>
        <v>2</v>
      </c>
    </row>
    <row r="130" spans="1:45" s="152" customFormat="1" ht="12.75" customHeight="1" x14ac:dyDescent="0.2">
      <c r="A130" s="105">
        <v>33</v>
      </c>
      <c r="B130" s="12">
        <v>3425</v>
      </c>
      <c r="C130" s="104">
        <v>600078451</v>
      </c>
      <c r="D130" s="104">
        <v>72742551</v>
      </c>
      <c r="E130" s="153" t="s">
        <v>69</v>
      </c>
      <c r="F130" s="12"/>
      <c r="G130" s="153"/>
      <c r="H130" s="407"/>
      <c r="I130" s="746">
        <v>15567804</v>
      </c>
      <c r="J130" s="378">
        <v>11537381</v>
      </c>
      <c r="K130" s="378">
        <v>11520</v>
      </c>
      <c r="L130" s="378">
        <v>3903529</v>
      </c>
      <c r="M130" s="378">
        <v>115374</v>
      </c>
      <c r="N130" s="378">
        <v>0</v>
      </c>
      <c r="O130" s="340">
        <v>18</v>
      </c>
      <c r="P130" s="444">
        <f t="shared" ref="P130:AS130" si="315">SUM(P127:P129)</f>
        <v>-7680</v>
      </c>
      <c r="Q130" s="378">
        <f t="shared" si="315"/>
        <v>0</v>
      </c>
      <c r="R130" s="378">
        <f t="shared" si="315"/>
        <v>0</v>
      </c>
      <c r="S130" s="378">
        <f t="shared" si="315"/>
        <v>0</v>
      </c>
      <c r="T130" s="378">
        <f t="shared" si="315"/>
        <v>0</v>
      </c>
      <c r="U130" s="378">
        <f t="shared" si="315"/>
        <v>0</v>
      </c>
      <c r="V130" s="378">
        <f t="shared" si="315"/>
        <v>-7680</v>
      </c>
      <c r="W130" s="378">
        <f t="shared" si="315"/>
        <v>7680</v>
      </c>
      <c r="X130" s="378">
        <f t="shared" si="315"/>
        <v>0</v>
      </c>
      <c r="Y130" s="378">
        <f t="shared" si="315"/>
        <v>0</v>
      </c>
      <c r="Z130" s="378">
        <f t="shared" si="315"/>
        <v>7680</v>
      </c>
      <c r="AA130" s="378">
        <f t="shared" si="315"/>
        <v>0</v>
      </c>
      <c r="AB130" s="378">
        <f t="shared" si="315"/>
        <v>0</v>
      </c>
      <c r="AC130" s="378">
        <f t="shared" si="315"/>
        <v>-77</v>
      </c>
      <c r="AD130" s="378">
        <f t="shared" si="315"/>
        <v>0</v>
      </c>
      <c r="AE130" s="752">
        <f t="shared" si="315"/>
        <v>-77</v>
      </c>
      <c r="AF130" s="754">
        <f t="shared" si="315"/>
        <v>-0.01</v>
      </c>
      <c r="AG130" s="398">
        <f t="shared" si="315"/>
        <v>0</v>
      </c>
      <c r="AH130" s="398">
        <f t="shared" si="315"/>
        <v>0</v>
      </c>
      <c r="AI130" s="398">
        <f t="shared" si="315"/>
        <v>0</v>
      </c>
      <c r="AJ130" s="398">
        <f t="shared" si="315"/>
        <v>0</v>
      </c>
      <c r="AK130" s="398">
        <f t="shared" si="315"/>
        <v>0</v>
      </c>
      <c r="AL130" s="340">
        <f t="shared" si="315"/>
        <v>-0.01</v>
      </c>
      <c r="AM130" s="444">
        <f t="shared" si="315"/>
        <v>15567727</v>
      </c>
      <c r="AN130" s="378">
        <f t="shared" si="315"/>
        <v>11529701</v>
      </c>
      <c r="AO130" s="378">
        <f t="shared" si="315"/>
        <v>19200</v>
      </c>
      <c r="AP130" s="378">
        <f t="shared" si="315"/>
        <v>3903529</v>
      </c>
      <c r="AQ130" s="378">
        <f t="shared" si="315"/>
        <v>115297</v>
      </c>
      <c r="AR130" s="378">
        <f t="shared" si="315"/>
        <v>0</v>
      </c>
      <c r="AS130" s="398">
        <f t="shared" si="315"/>
        <v>17.990000000000002</v>
      </c>
    </row>
    <row r="131" spans="1:45" s="152" customFormat="1" ht="12.75" customHeight="1" x14ac:dyDescent="0.2">
      <c r="A131" s="154">
        <v>34</v>
      </c>
      <c r="B131" s="155">
        <v>3418</v>
      </c>
      <c r="C131" s="155">
        <v>600078001</v>
      </c>
      <c r="D131" s="155">
        <v>70695954</v>
      </c>
      <c r="E131" s="156" t="s">
        <v>70</v>
      </c>
      <c r="F131" s="155">
        <v>3111</v>
      </c>
      <c r="G131" s="156" t="s">
        <v>277</v>
      </c>
      <c r="H131" s="157" t="s">
        <v>262</v>
      </c>
      <c r="I131" s="610">
        <v>1882822</v>
      </c>
      <c r="J131" s="410">
        <v>1396752</v>
      </c>
      <c r="K131" s="410">
        <v>0</v>
      </c>
      <c r="L131" s="431">
        <v>472102</v>
      </c>
      <c r="M131" s="431">
        <v>13968</v>
      </c>
      <c r="N131" s="431">
        <v>0</v>
      </c>
      <c r="O131" s="747">
        <v>2.29</v>
      </c>
      <c r="P131" s="445">
        <f>W131*-1</f>
        <v>0</v>
      </c>
      <c r="Q131" s="325">
        <v>0</v>
      </c>
      <c r="R131" s="325">
        <v>0</v>
      </c>
      <c r="S131" s="325">
        <v>0</v>
      </c>
      <c r="T131" s="325">
        <v>0</v>
      </c>
      <c r="U131" s="325">
        <v>0</v>
      </c>
      <c r="V131" s="492">
        <f t="shared" ref="V131:V132" si="316">P131+Q131+R131+S131+T131+U131</f>
        <v>0</v>
      </c>
      <c r="W131" s="325">
        <v>0</v>
      </c>
      <c r="X131" s="325">
        <v>0</v>
      </c>
      <c r="Y131" s="325">
        <v>0</v>
      </c>
      <c r="Z131" s="492">
        <f t="shared" ref="Z131:Z132" si="317">W131+X131+Y131</f>
        <v>0</v>
      </c>
      <c r="AA131" s="492">
        <f t="shared" ref="AA131:AA132" si="318">V131+Z131</f>
        <v>0</v>
      </c>
      <c r="AB131" s="494">
        <f t="shared" ref="AB131:AB132" si="319">ROUND((V131+Z131)*33.8%,0)</f>
        <v>0</v>
      </c>
      <c r="AC131" s="494">
        <f t="shared" ref="AC131:AC132" si="320">ROUND(V131*1%,0)</f>
        <v>0</v>
      </c>
      <c r="AD131" s="492">
        <v>0</v>
      </c>
      <c r="AE131" s="753">
        <f t="shared" ref="AE131:AE132" si="321">AA131+AB131+AC131+AD131</f>
        <v>0</v>
      </c>
      <c r="AF131" s="688">
        <v>0</v>
      </c>
      <c r="AG131" s="326">
        <v>0</v>
      </c>
      <c r="AH131" s="326">
        <v>0</v>
      </c>
      <c r="AI131" s="326">
        <v>0</v>
      </c>
      <c r="AJ131" s="326">
        <v>0</v>
      </c>
      <c r="AK131" s="326">
        <v>0</v>
      </c>
      <c r="AL131" s="609">
        <f t="shared" ref="AL131:AL132" si="322">SUM(AF131:AK131)</f>
        <v>0</v>
      </c>
      <c r="AM131" s="493">
        <f>I131+AE131</f>
        <v>1882822</v>
      </c>
      <c r="AN131" s="492">
        <f>J131+V131</f>
        <v>1396752</v>
      </c>
      <c r="AO131" s="573">
        <f t="shared" ref="AO131:AO132" si="323">K131+Z131</f>
        <v>0</v>
      </c>
      <c r="AP131" s="492">
        <f>L131+AB131</f>
        <v>472102</v>
      </c>
      <c r="AQ131" s="492">
        <f>M131+AC131</f>
        <v>13968</v>
      </c>
      <c r="AR131" s="573">
        <f t="shared" ref="AR131:AR132" si="324">N131+AD131</f>
        <v>0</v>
      </c>
      <c r="AS131" s="491">
        <f t="shared" ref="AS131:AS132" si="325">O131+AL131</f>
        <v>2.29</v>
      </c>
    </row>
    <row r="132" spans="1:45" s="152" customFormat="1" ht="12.75" customHeight="1" x14ac:dyDescent="0.2">
      <c r="A132" s="154">
        <v>34</v>
      </c>
      <c r="B132" s="155">
        <v>3418</v>
      </c>
      <c r="C132" s="155">
        <v>600078001</v>
      </c>
      <c r="D132" s="155">
        <v>70695954</v>
      </c>
      <c r="E132" s="156" t="s">
        <v>70</v>
      </c>
      <c r="F132" s="155">
        <v>3111</v>
      </c>
      <c r="G132" s="156" t="s">
        <v>278</v>
      </c>
      <c r="H132" s="157" t="s">
        <v>263</v>
      </c>
      <c r="I132" s="580">
        <v>0</v>
      </c>
      <c r="J132" s="323">
        <v>0</v>
      </c>
      <c r="K132" s="410">
        <v>0</v>
      </c>
      <c r="L132" s="431">
        <v>0</v>
      </c>
      <c r="M132" s="431">
        <v>0</v>
      </c>
      <c r="N132" s="431">
        <v>0</v>
      </c>
      <c r="O132" s="748">
        <v>0</v>
      </c>
      <c r="P132" s="440">
        <f>W132*-1</f>
        <v>0</v>
      </c>
      <c r="Q132" s="325">
        <v>0</v>
      </c>
      <c r="R132" s="325">
        <v>0</v>
      </c>
      <c r="S132" s="325">
        <v>0</v>
      </c>
      <c r="T132" s="325">
        <v>0</v>
      </c>
      <c r="U132" s="325">
        <v>0</v>
      </c>
      <c r="V132" s="492">
        <f t="shared" si="316"/>
        <v>0</v>
      </c>
      <c r="W132" s="325">
        <v>0</v>
      </c>
      <c r="X132" s="325">
        <v>0</v>
      </c>
      <c r="Y132" s="325">
        <v>0</v>
      </c>
      <c r="Z132" s="492">
        <f t="shared" si="317"/>
        <v>0</v>
      </c>
      <c r="AA132" s="492">
        <f t="shared" si="318"/>
        <v>0</v>
      </c>
      <c r="AB132" s="494">
        <f t="shared" si="319"/>
        <v>0</v>
      </c>
      <c r="AC132" s="494">
        <f t="shared" si="320"/>
        <v>0</v>
      </c>
      <c r="AD132" s="492">
        <v>0</v>
      </c>
      <c r="AE132" s="753">
        <f t="shared" si="321"/>
        <v>0</v>
      </c>
      <c r="AF132" s="688">
        <v>0</v>
      </c>
      <c r="AG132" s="326">
        <v>0</v>
      </c>
      <c r="AH132" s="326">
        <v>0</v>
      </c>
      <c r="AI132" s="326">
        <v>0</v>
      </c>
      <c r="AJ132" s="326">
        <v>0</v>
      </c>
      <c r="AK132" s="326">
        <v>0</v>
      </c>
      <c r="AL132" s="609">
        <f t="shared" si="322"/>
        <v>0</v>
      </c>
      <c r="AM132" s="493">
        <f>I132+AE132</f>
        <v>0</v>
      </c>
      <c r="AN132" s="492">
        <f>J132+V132</f>
        <v>0</v>
      </c>
      <c r="AO132" s="573">
        <f t="shared" si="323"/>
        <v>0</v>
      </c>
      <c r="AP132" s="492">
        <f>L132+AB132</f>
        <v>0</v>
      </c>
      <c r="AQ132" s="492">
        <f>M132+AC132</f>
        <v>0</v>
      </c>
      <c r="AR132" s="573">
        <f t="shared" si="324"/>
        <v>0</v>
      </c>
      <c r="AS132" s="491">
        <f t="shared" si="325"/>
        <v>0</v>
      </c>
    </row>
    <row r="133" spans="1:45" s="152" customFormat="1" ht="12.75" customHeight="1" x14ac:dyDescent="0.2">
      <c r="A133" s="105">
        <v>34</v>
      </c>
      <c r="B133" s="12">
        <v>3418</v>
      </c>
      <c r="C133" s="104">
        <v>600078001</v>
      </c>
      <c r="D133" s="104">
        <v>70695954</v>
      </c>
      <c r="E133" s="153" t="s">
        <v>71</v>
      </c>
      <c r="F133" s="12"/>
      <c r="G133" s="153"/>
      <c r="H133" s="407"/>
      <c r="I133" s="746">
        <v>1882822</v>
      </c>
      <c r="J133" s="378">
        <v>1396752</v>
      </c>
      <c r="K133" s="378">
        <v>0</v>
      </c>
      <c r="L133" s="378">
        <v>472102</v>
      </c>
      <c r="M133" s="378">
        <v>13968</v>
      </c>
      <c r="N133" s="378">
        <v>0</v>
      </c>
      <c r="O133" s="340">
        <v>2.29</v>
      </c>
      <c r="P133" s="444">
        <f t="shared" ref="P133:AS133" si="326">SUM(P131:P132)</f>
        <v>0</v>
      </c>
      <c r="Q133" s="378">
        <f t="shared" si="326"/>
        <v>0</v>
      </c>
      <c r="R133" s="378">
        <f t="shared" si="326"/>
        <v>0</v>
      </c>
      <c r="S133" s="378">
        <f t="shared" si="326"/>
        <v>0</v>
      </c>
      <c r="T133" s="378">
        <f t="shared" si="326"/>
        <v>0</v>
      </c>
      <c r="U133" s="378">
        <f t="shared" si="326"/>
        <v>0</v>
      </c>
      <c r="V133" s="378">
        <f t="shared" si="326"/>
        <v>0</v>
      </c>
      <c r="W133" s="378">
        <f t="shared" si="326"/>
        <v>0</v>
      </c>
      <c r="X133" s="378">
        <f t="shared" si="326"/>
        <v>0</v>
      </c>
      <c r="Y133" s="378">
        <f t="shared" si="326"/>
        <v>0</v>
      </c>
      <c r="Z133" s="378">
        <f t="shared" si="326"/>
        <v>0</v>
      </c>
      <c r="AA133" s="378">
        <f t="shared" si="326"/>
        <v>0</v>
      </c>
      <c r="AB133" s="378">
        <f t="shared" si="326"/>
        <v>0</v>
      </c>
      <c r="AC133" s="378">
        <f t="shared" si="326"/>
        <v>0</v>
      </c>
      <c r="AD133" s="378">
        <f t="shared" si="326"/>
        <v>0</v>
      </c>
      <c r="AE133" s="752">
        <f t="shared" si="326"/>
        <v>0</v>
      </c>
      <c r="AF133" s="754">
        <f t="shared" si="326"/>
        <v>0</v>
      </c>
      <c r="AG133" s="398">
        <f t="shared" si="326"/>
        <v>0</v>
      </c>
      <c r="AH133" s="398">
        <f t="shared" si="326"/>
        <v>0</v>
      </c>
      <c r="AI133" s="398">
        <f t="shared" si="326"/>
        <v>0</v>
      </c>
      <c r="AJ133" s="398">
        <f t="shared" si="326"/>
        <v>0</v>
      </c>
      <c r="AK133" s="398">
        <f t="shared" si="326"/>
        <v>0</v>
      </c>
      <c r="AL133" s="340">
        <f t="shared" si="326"/>
        <v>0</v>
      </c>
      <c r="AM133" s="444">
        <f t="shared" si="326"/>
        <v>1882822</v>
      </c>
      <c r="AN133" s="378">
        <f t="shared" si="326"/>
        <v>1396752</v>
      </c>
      <c r="AO133" s="378">
        <f t="shared" si="326"/>
        <v>0</v>
      </c>
      <c r="AP133" s="378">
        <f t="shared" si="326"/>
        <v>472102</v>
      </c>
      <c r="AQ133" s="378">
        <f t="shared" si="326"/>
        <v>13968</v>
      </c>
      <c r="AR133" s="378">
        <f t="shared" si="326"/>
        <v>0</v>
      </c>
      <c r="AS133" s="398">
        <f t="shared" si="326"/>
        <v>2.29</v>
      </c>
    </row>
    <row r="134" spans="1:45" s="152" customFormat="1" ht="12.75" customHeight="1" x14ac:dyDescent="0.2">
      <c r="A134" s="154">
        <v>35</v>
      </c>
      <c r="B134" s="155">
        <v>3428</v>
      </c>
      <c r="C134" s="155">
        <v>600078311</v>
      </c>
      <c r="D134" s="155">
        <v>72742518</v>
      </c>
      <c r="E134" s="156" t="s">
        <v>72</v>
      </c>
      <c r="F134" s="155">
        <v>3111</v>
      </c>
      <c r="G134" s="156" t="s">
        <v>277</v>
      </c>
      <c r="H134" s="157" t="s">
        <v>262</v>
      </c>
      <c r="I134" s="610">
        <v>3194213</v>
      </c>
      <c r="J134" s="410">
        <v>2369594</v>
      </c>
      <c r="K134" s="410">
        <v>0</v>
      </c>
      <c r="L134" s="431">
        <v>800923</v>
      </c>
      <c r="M134" s="431">
        <v>23696</v>
      </c>
      <c r="N134" s="431">
        <v>0</v>
      </c>
      <c r="O134" s="747">
        <v>4</v>
      </c>
      <c r="P134" s="445">
        <f>W134*-1</f>
        <v>0</v>
      </c>
      <c r="Q134" s="325">
        <v>0</v>
      </c>
      <c r="R134" s="325">
        <v>0</v>
      </c>
      <c r="S134" s="325">
        <v>0</v>
      </c>
      <c r="T134" s="325">
        <v>0</v>
      </c>
      <c r="U134" s="325">
        <v>0</v>
      </c>
      <c r="V134" s="492">
        <f t="shared" ref="V134:V137" si="327">P134+Q134+R134+S134+T134+U134</f>
        <v>0</v>
      </c>
      <c r="W134" s="325">
        <v>0</v>
      </c>
      <c r="X134" s="325">
        <v>0</v>
      </c>
      <c r="Y134" s="325">
        <v>0</v>
      </c>
      <c r="Z134" s="492">
        <f t="shared" ref="Z134:Z137" si="328">W134+X134+Y134</f>
        <v>0</v>
      </c>
      <c r="AA134" s="492">
        <f t="shared" ref="AA134:AA137" si="329">V134+Z134</f>
        <v>0</v>
      </c>
      <c r="AB134" s="494">
        <f t="shared" ref="AB134:AB137" si="330">ROUND((V134+Z134)*33.8%,0)</f>
        <v>0</v>
      </c>
      <c r="AC134" s="494">
        <f t="shared" ref="AC134:AC137" si="331">ROUND(V134*1%,0)</f>
        <v>0</v>
      </c>
      <c r="AD134" s="492">
        <v>0</v>
      </c>
      <c r="AE134" s="753">
        <f t="shared" ref="AE134:AE137" si="332">AA134+AB134+AC134+AD134</f>
        <v>0</v>
      </c>
      <c r="AF134" s="688">
        <v>0</v>
      </c>
      <c r="AG134" s="326">
        <v>0</v>
      </c>
      <c r="AH134" s="326">
        <v>0</v>
      </c>
      <c r="AI134" s="326">
        <v>0</v>
      </c>
      <c r="AJ134" s="326">
        <v>0</v>
      </c>
      <c r="AK134" s="326">
        <v>0</v>
      </c>
      <c r="AL134" s="609">
        <f t="shared" ref="AL134:AL137" si="333">SUM(AF134:AK134)</f>
        <v>0</v>
      </c>
      <c r="AM134" s="493">
        <f>I134+AE134</f>
        <v>3194213</v>
      </c>
      <c r="AN134" s="492">
        <f>J134+V134</f>
        <v>2369594</v>
      </c>
      <c r="AO134" s="573">
        <f t="shared" ref="AO134:AO137" si="334">K134+Z134</f>
        <v>0</v>
      </c>
      <c r="AP134" s="492">
        <f t="shared" ref="AP134:AR137" si="335">L134+AB134</f>
        <v>800923</v>
      </c>
      <c r="AQ134" s="492">
        <f t="shared" si="335"/>
        <v>23696</v>
      </c>
      <c r="AR134" s="573">
        <f t="shared" si="335"/>
        <v>0</v>
      </c>
      <c r="AS134" s="491">
        <f t="shared" ref="AS134:AS137" si="336">O134+AL134</f>
        <v>4</v>
      </c>
    </row>
    <row r="135" spans="1:45" s="152" customFormat="1" ht="12.75" customHeight="1" x14ac:dyDescent="0.2">
      <c r="A135" s="154">
        <v>35</v>
      </c>
      <c r="B135" s="155">
        <v>3428</v>
      </c>
      <c r="C135" s="155">
        <v>600078311</v>
      </c>
      <c r="D135" s="155">
        <v>72742518</v>
      </c>
      <c r="E135" s="156" t="s">
        <v>72</v>
      </c>
      <c r="F135" s="155">
        <v>3117</v>
      </c>
      <c r="G135" s="156" t="s">
        <v>280</v>
      </c>
      <c r="H135" s="157" t="s">
        <v>262</v>
      </c>
      <c r="I135" s="580">
        <v>3569440</v>
      </c>
      <c r="J135" s="323">
        <v>2641283</v>
      </c>
      <c r="K135" s="410">
        <v>6720</v>
      </c>
      <c r="L135" s="431">
        <v>895024</v>
      </c>
      <c r="M135" s="431">
        <v>26413</v>
      </c>
      <c r="N135" s="431">
        <v>0</v>
      </c>
      <c r="O135" s="748">
        <v>3.91</v>
      </c>
      <c r="P135" s="440">
        <f>W135*-1</f>
        <v>-4480</v>
      </c>
      <c r="Q135" s="325">
        <v>0</v>
      </c>
      <c r="R135" s="325">
        <v>0</v>
      </c>
      <c r="S135" s="325">
        <v>0</v>
      </c>
      <c r="T135" s="325">
        <v>0</v>
      </c>
      <c r="U135" s="325">
        <v>0</v>
      </c>
      <c r="V135" s="492">
        <f t="shared" si="327"/>
        <v>-4480</v>
      </c>
      <c r="W135" s="325">
        <v>4480</v>
      </c>
      <c r="X135" s="325">
        <v>0</v>
      </c>
      <c r="Y135" s="325">
        <v>0</v>
      </c>
      <c r="Z135" s="492">
        <f t="shared" si="328"/>
        <v>4480</v>
      </c>
      <c r="AA135" s="492">
        <f t="shared" si="329"/>
        <v>0</v>
      </c>
      <c r="AB135" s="494">
        <f t="shared" si="330"/>
        <v>0</v>
      </c>
      <c r="AC135" s="494">
        <f t="shared" si="331"/>
        <v>-45</v>
      </c>
      <c r="AD135" s="492">
        <v>0</v>
      </c>
      <c r="AE135" s="753">
        <f t="shared" si="332"/>
        <v>-45</v>
      </c>
      <c r="AF135" s="688">
        <v>0</v>
      </c>
      <c r="AG135" s="326">
        <v>0</v>
      </c>
      <c r="AH135" s="326">
        <v>0</v>
      </c>
      <c r="AI135" s="326">
        <v>0</v>
      </c>
      <c r="AJ135" s="326">
        <v>0</v>
      </c>
      <c r="AK135" s="326">
        <v>0</v>
      </c>
      <c r="AL135" s="609">
        <f t="shared" si="333"/>
        <v>0</v>
      </c>
      <c r="AM135" s="493">
        <f>I135+AE135</f>
        <v>3569395</v>
      </c>
      <c r="AN135" s="492">
        <f>J135+V135</f>
        <v>2636803</v>
      </c>
      <c r="AO135" s="573">
        <f t="shared" si="334"/>
        <v>11200</v>
      </c>
      <c r="AP135" s="492">
        <f t="shared" si="335"/>
        <v>895024</v>
      </c>
      <c r="AQ135" s="492">
        <f t="shared" si="335"/>
        <v>26368</v>
      </c>
      <c r="AR135" s="573">
        <f t="shared" si="335"/>
        <v>0</v>
      </c>
      <c r="AS135" s="491">
        <f t="shared" si="336"/>
        <v>3.91</v>
      </c>
    </row>
    <row r="136" spans="1:45" s="152" customFormat="1" x14ac:dyDescent="0.2">
      <c r="A136" s="154">
        <v>35</v>
      </c>
      <c r="B136" s="155">
        <v>3428</v>
      </c>
      <c r="C136" s="155">
        <v>600078311</v>
      </c>
      <c r="D136" s="155">
        <v>72742518</v>
      </c>
      <c r="E136" s="156" t="s">
        <v>72</v>
      </c>
      <c r="F136" s="155">
        <v>3117</v>
      </c>
      <c r="G136" s="156" t="s">
        <v>278</v>
      </c>
      <c r="H136" s="157" t="s">
        <v>263</v>
      </c>
      <c r="I136" s="580">
        <v>1203640</v>
      </c>
      <c r="J136" s="323">
        <v>892908</v>
      </c>
      <c r="K136" s="410">
        <v>0</v>
      </c>
      <c r="L136" s="431">
        <v>301803</v>
      </c>
      <c r="M136" s="431">
        <v>8929</v>
      </c>
      <c r="N136" s="431">
        <v>0</v>
      </c>
      <c r="O136" s="748">
        <v>2.25</v>
      </c>
      <c r="P136" s="440">
        <f>W136*-1</f>
        <v>0</v>
      </c>
      <c r="Q136" s="325">
        <v>0</v>
      </c>
      <c r="R136" s="325">
        <v>0</v>
      </c>
      <c r="S136" s="325">
        <v>0</v>
      </c>
      <c r="T136" s="325">
        <v>0</v>
      </c>
      <c r="U136" s="325">
        <v>0</v>
      </c>
      <c r="V136" s="492">
        <f t="shared" si="327"/>
        <v>0</v>
      </c>
      <c r="W136" s="325">
        <v>0</v>
      </c>
      <c r="X136" s="325">
        <v>0</v>
      </c>
      <c r="Y136" s="325">
        <v>0</v>
      </c>
      <c r="Z136" s="492">
        <f t="shared" si="328"/>
        <v>0</v>
      </c>
      <c r="AA136" s="492">
        <f t="shared" si="329"/>
        <v>0</v>
      </c>
      <c r="AB136" s="494">
        <f t="shared" si="330"/>
        <v>0</v>
      </c>
      <c r="AC136" s="494">
        <f t="shared" si="331"/>
        <v>0</v>
      </c>
      <c r="AD136" s="492">
        <v>0</v>
      </c>
      <c r="AE136" s="753">
        <f t="shared" si="332"/>
        <v>0</v>
      </c>
      <c r="AF136" s="688">
        <v>0</v>
      </c>
      <c r="AG136" s="326">
        <v>0</v>
      </c>
      <c r="AH136" s="326">
        <v>0</v>
      </c>
      <c r="AI136" s="326">
        <v>0</v>
      </c>
      <c r="AJ136" s="326">
        <v>0</v>
      </c>
      <c r="AK136" s="326">
        <v>0</v>
      </c>
      <c r="AL136" s="609">
        <f t="shared" si="333"/>
        <v>0</v>
      </c>
      <c r="AM136" s="493">
        <f>I136+AE136</f>
        <v>1203640</v>
      </c>
      <c r="AN136" s="492">
        <f>J136+V136</f>
        <v>892908</v>
      </c>
      <c r="AO136" s="573">
        <f t="shared" si="334"/>
        <v>0</v>
      </c>
      <c r="AP136" s="492">
        <f t="shared" si="335"/>
        <v>301803</v>
      </c>
      <c r="AQ136" s="492">
        <f t="shared" si="335"/>
        <v>8929</v>
      </c>
      <c r="AR136" s="573">
        <f t="shared" si="335"/>
        <v>0</v>
      </c>
      <c r="AS136" s="491">
        <f t="shared" si="336"/>
        <v>2.25</v>
      </c>
    </row>
    <row r="137" spans="1:45" s="152" customFormat="1" ht="12.75" customHeight="1" x14ac:dyDescent="0.2">
      <c r="A137" s="154">
        <v>35</v>
      </c>
      <c r="B137" s="155">
        <v>3428</v>
      </c>
      <c r="C137" s="155">
        <v>600078311</v>
      </c>
      <c r="D137" s="155">
        <v>72742518</v>
      </c>
      <c r="E137" s="156" t="s">
        <v>72</v>
      </c>
      <c r="F137" s="155">
        <v>3143</v>
      </c>
      <c r="G137" s="156" t="s">
        <v>794</v>
      </c>
      <c r="H137" s="157" t="s">
        <v>262</v>
      </c>
      <c r="I137" s="580">
        <v>1368319</v>
      </c>
      <c r="J137" s="323">
        <v>1015073</v>
      </c>
      <c r="K137" s="410">
        <v>0</v>
      </c>
      <c r="L137" s="431">
        <v>343095</v>
      </c>
      <c r="M137" s="431">
        <v>10151</v>
      </c>
      <c r="N137" s="431">
        <v>0</v>
      </c>
      <c r="O137" s="748">
        <v>2.0499999999999998</v>
      </c>
      <c r="P137" s="440">
        <f>W137*-1</f>
        <v>0</v>
      </c>
      <c r="Q137" s="325">
        <v>0</v>
      </c>
      <c r="R137" s="325">
        <v>0</v>
      </c>
      <c r="S137" s="325">
        <v>0</v>
      </c>
      <c r="T137" s="325">
        <v>0</v>
      </c>
      <c r="U137" s="325">
        <v>0</v>
      </c>
      <c r="V137" s="492">
        <f t="shared" si="327"/>
        <v>0</v>
      </c>
      <c r="W137" s="325">
        <v>0</v>
      </c>
      <c r="X137" s="325">
        <v>0</v>
      </c>
      <c r="Y137" s="325">
        <v>0</v>
      </c>
      <c r="Z137" s="492">
        <f t="shared" si="328"/>
        <v>0</v>
      </c>
      <c r="AA137" s="492">
        <f t="shared" si="329"/>
        <v>0</v>
      </c>
      <c r="AB137" s="494">
        <f t="shared" si="330"/>
        <v>0</v>
      </c>
      <c r="AC137" s="494">
        <f t="shared" si="331"/>
        <v>0</v>
      </c>
      <c r="AD137" s="492">
        <v>0</v>
      </c>
      <c r="AE137" s="753">
        <f t="shared" si="332"/>
        <v>0</v>
      </c>
      <c r="AF137" s="688">
        <v>0</v>
      </c>
      <c r="AG137" s="326">
        <v>0</v>
      </c>
      <c r="AH137" s="326">
        <v>0</v>
      </c>
      <c r="AI137" s="326">
        <v>0</v>
      </c>
      <c r="AJ137" s="326">
        <v>0</v>
      </c>
      <c r="AK137" s="326">
        <v>0</v>
      </c>
      <c r="AL137" s="609">
        <f t="shared" si="333"/>
        <v>0</v>
      </c>
      <c r="AM137" s="493">
        <f>I137+AE137</f>
        <v>1368319</v>
      </c>
      <c r="AN137" s="492">
        <f>J137+V137</f>
        <v>1015073</v>
      </c>
      <c r="AO137" s="573">
        <f t="shared" si="334"/>
        <v>0</v>
      </c>
      <c r="AP137" s="492">
        <f t="shared" si="335"/>
        <v>343095</v>
      </c>
      <c r="AQ137" s="492">
        <f t="shared" si="335"/>
        <v>10151</v>
      </c>
      <c r="AR137" s="573">
        <f t="shared" si="335"/>
        <v>0</v>
      </c>
      <c r="AS137" s="491">
        <f t="shared" si="336"/>
        <v>2.0499999999999998</v>
      </c>
    </row>
    <row r="138" spans="1:45" s="152" customFormat="1" ht="12.75" customHeight="1" x14ac:dyDescent="0.2">
      <c r="A138" s="105">
        <v>35</v>
      </c>
      <c r="B138" s="12">
        <v>3428</v>
      </c>
      <c r="C138" s="104">
        <v>600078311</v>
      </c>
      <c r="D138" s="104">
        <v>72742518</v>
      </c>
      <c r="E138" s="153" t="s">
        <v>73</v>
      </c>
      <c r="F138" s="12"/>
      <c r="G138" s="153"/>
      <c r="H138" s="407"/>
      <c r="I138" s="746">
        <v>9335612</v>
      </c>
      <c r="J138" s="378">
        <v>6918858</v>
      </c>
      <c r="K138" s="378">
        <v>6720</v>
      </c>
      <c r="L138" s="378">
        <v>2340845</v>
      </c>
      <c r="M138" s="378">
        <v>69189</v>
      </c>
      <c r="N138" s="378">
        <v>0</v>
      </c>
      <c r="O138" s="340">
        <v>12.21</v>
      </c>
      <c r="P138" s="444">
        <f t="shared" ref="P138:AS138" si="337">SUM(P134:P137)</f>
        <v>-4480</v>
      </c>
      <c r="Q138" s="378">
        <f t="shared" si="337"/>
        <v>0</v>
      </c>
      <c r="R138" s="378">
        <f t="shared" si="337"/>
        <v>0</v>
      </c>
      <c r="S138" s="378">
        <f t="shared" si="337"/>
        <v>0</v>
      </c>
      <c r="T138" s="378">
        <f t="shared" si="337"/>
        <v>0</v>
      </c>
      <c r="U138" s="378">
        <f t="shared" si="337"/>
        <v>0</v>
      </c>
      <c r="V138" s="378">
        <f t="shared" si="337"/>
        <v>-4480</v>
      </c>
      <c r="W138" s="378">
        <f t="shared" si="337"/>
        <v>4480</v>
      </c>
      <c r="X138" s="378">
        <f t="shared" si="337"/>
        <v>0</v>
      </c>
      <c r="Y138" s="378">
        <f t="shared" si="337"/>
        <v>0</v>
      </c>
      <c r="Z138" s="378">
        <f t="shared" si="337"/>
        <v>4480</v>
      </c>
      <c r="AA138" s="378">
        <f t="shared" si="337"/>
        <v>0</v>
      </c>
      <c r="AB138" s="378">
        <f t="shared" si="337"/>
        <v>0</v>
      </c>
      <c r="AC138" s="378">
        <f t="shared" si="337"/>
        <v>-45</v>
      </c>
      <c r="AD138" s="378">
        <f t="shared" si="337"/>
        <v>0</v>
      </c>
      <c r="AE138" s="752">
        <f t="shared" si="337"/>
        <v>-45</v>
      </c>
      <c r="AF138" s="754">
        <f t="shared" si="337"/>
        <v>0</v>
      </c>
      <c r="AG138" s="398">
        <f t="shared" si="337"/>
        <v>0</v>
      </c>
      <c r="AH138" s="398">
        <f t="shared" si="337"/>
        <v>0</v>
      </c>
      <c r="AI138" s="398">
        <f t="shared" si="337"/>
        <v>0</v>
      </c>
      <c r="AJ138" s="398">
        <f t="shared" si="337"/>
        <v>0</v>
      </c>
      <c r="AK138" s="398">
        <f t="shared" si="337"/>
        <v>0</v>
      </c>
      <c r="AL138" s="340">
        <f t="shared" si="337"/>
        <v>0</v>
      </c>
      <c r="AM138" s="444">
        <f t="shared" si="337"/>
        <v>9335567</v>
      </c>
      <c r="AN138" s="378">
        <f t="shared" si="337"/>
        <v>6914378</v>
      </c>
      <c r="AO138" s="378">
        <f t="shared" si="337"/>
        <v>11200</v>
      </c>
      <c r="AP138" s="378">
        <f t="shared" si="337"/>
        <v>2340845</v>
      </c>
      <c r="AQ138" s="378">
        <f t="shared" si="337"/>
        <v>69144</v>
      </c>
      <c r="AR138" s="378">
        <f t="shared" si="337"/>
        <v>0</v>
      </c>
      <c r="AS138" s="398">
        <f t="shared" si="337"/>
        <v>12.21</v>
      </c>
    </row>
    <row r="139" spans="1:45" s="152" customFormat="1" ht="12.75" customHeight="1" x14ac:dyDescent="0.2">
      <c r="A139" s="154">
        <v>36</v>
      </c>
      <c r="B139" s="155">
        <v>3433</v>
      </c>
      <c r="C139" s="155">
        <v>600078043</v>
      </c>
      <c r="D139" s="155">
        <v>70695130</v>
      </c>
      <c r="E139" s="156" t="s">
        <v>74</v>
      </c>
      <c r="F139" s="155">
        <v>3111</v>
      </c>
      <c r="G139" s="156" t="s">
        <v>277</v>
      </c>
      <c r="H139" s="157" t="s">
        <v>262</v>
      </c>
      <c r="I139" s="610">
        <v>3169837</v>
      </c>
      <c r="J139" s="410">
        <v>2351511</v>
      </c>
      <c r="K139" s="410">
        <v>0</v>
      </c>
      <c r="L139" s="431">
        <v>794811</v>
      </c>
      <c r="M139" s="431">
        <v>23515</v>
      </c>
      <c r="N139" s="431">
        <v>0</v>
      </c>
      <c r="O139" s="747">
        <v>4</v>
      </c>
      <c r="P139" s="445">
        <f>W139*-1</f>
        <v>0</v>
      </c>
      <c r="Q139" s="325">
        <v>0</v>
      </c>
      <c r="R139" s="325">
        <v>0</v>
      </c>
      <c r="S139" s="325">
        <v>0</v>
      </c>
      <c r="T139" s="325">
        <v>0</v>
      </c>
      <c r="U139" s="325">
        <v>0</v>
      </c>
      <c r="V139" s="492">
        <f t="shared" ref="V139:V140" si="338">P139+Q139+R139+S139+T139+U139</f>
        <v>0</v>
      </c>
      <c r="W139" s="325">
        <v>0</v>
      </c>
      <c r="X139" s="325">
        <v>0</v>
      </c>
      <c r="Y139" s="325">
        <v>0</v>
      </c>
      <c r="Z139" s="492">
        <f t="shared" ref="Z139:Z140" si="339">W139+X139+Y139</f>
        <v>0</v>
      </c>
      <c r="AA139" s="492">
        <f t="shared" ref="AA139:AA140" si="340">V139+Z139</f>
        <v>0</v>
      </c>
      <c r="AB139" s="494">
        <f t="shared" ref="AB139:AB140" si="341">ROUND((V139+Z139)*33.8%,0)</f>
        <v>0</v>
      </c>
      <c r="AC139" s="494">
        <f t="shared" ref="AC139:AC140" si="342">ROUND(V139*1%,0)</f>
        <v>0</v>
      </c>
      <c r="AD139" s="492">
        <v>0</v>
      </c>
      <c r="AE139" s="753">
        <f t="shared" ref="AE139:AE140" si="343">AA139+AB139+AC139+AD139</f>
        <v>0</v>
      </c>
      <c r="AF139" s="688">
        <v>0</v>
      </c>
      <c r="AG139" s="326">
        <v>0</v>
      </c>
      <c r="AH139" s="326">
        <v>0</v>
      </c>
      <c r="AI139" s="326">
        <v>0</v>
      </c>
      <c r="AJ139" s="326">
        <v>0</v>
      </c>
      <c r="AK139" s="326">
        <v>0</v>
      </c>
      <c r="AL139" s="609">
        <f t="shared" ref="AL139:AL140" si="344">SUM(AF139:AK139)</f>
        <v>0</v>
      </c>
      <c r="AM139" s="493">
        <f>I139+AE139</f>
        <v>3169837</v>
      </c>
      <c r="AN139" s="492">
        <f>J139+V139</f>
        <v>2351511</v>
      </c>
      <c r="AO139" s="573">
        <f t="shared" ref="AO139:AO140" si="345">K139+Z139</f>
        <v>0</v>
      </c>
      <c r="AP139" s="492">
        <f>L139+AB139</f>
        <v>794811</v>
      </c>
      <c r="AQ139" s="492">
        <f>M139+AC139</f>
        <v>23515</v>
      </c>
      <c r="AR139" s="573">
        <f t="shared" ref="AR139:AR140" si="346">N139+AD139</f>
        <v>0</v>
      </c>
      <c r="AS139" s="491">
        <f t="shared" ref="AS139:AS140" si="347">O139+AL139</f>
        <v>4</v>
      </c>
    </row>
    <row r="140" spans="1:45" s="152" customFormat="1" ht="12.75" customHeight="1" x14ac:dyDescent="0.2">
      <c r="A140" s="154">
        <v>36</v>
      </c>
      <c r="B140" s="155">
        <v>3433</v>
      </c>
      <c r="C140" s="155">
        <v>600078043</v>
      </c>
      <c r="D140" s="155">
        <v>70695130</v>
      </c>
      <c r="E140" s="156" t="s">
        <v>74</v>
      </c>
      <c r="F140" s="155">
        <v>3111</v>
      </c>
      <c r="G140" s="156" t="s">
        <v>278</v>
      </c>
      <c r="H140" s="157" t="s">
        <v>263</v>
      </c>
      <c r="I140" s="580">
        <v>401213</v>
      </c>
      <c r="J140" s="323">
        <v>297636</v>
      </c>
      <c r="K140" s="410">
        <v>0</v>
      </c>
      <c r="L140" s="431">
        <v>100601</v>
      </c>
      <c r="M140" s="431">
        <v>2976</v>
      </c>
      <c r="N140" s="431">
        <v>0</v>
      </c>
      <c r="O140" s="748">
        <v>0.75</v>
      </c>
      <c r="P140" s="440">
        <f>W140*-1</f>
        <v>0</v>
      </c>
      <c r="Q140" s="325">
        <v>0</v>
      </c>
      <c r="R140" s="325">
        <v>0</v>
      </c>
      <c r="S140" s="325">
        <v>0</v>
      </c>
      <c r="T140" s="325">
        <v>0</v>
      </c>
      <c r="U140" s="325">
        <v>0</v>
      </c>
      <c r="V140" s="492">
        <f t="shared" si="338"/>
        <v>0</v>
      </c>
      <c r="W140" s="325">
        <v>0</v>
      </c>
      <c r="X140" s="325">
        <v>0</v>
      </c>
      <c r="Y140" s="325">
        <v>0</v>
      </c>
      <c r="Z140" s="492">
        <f t="shared" si="339"/>
        <v>0</v>
      </c>
      <c r="AA140" s="492">
        <f t="shared" si="340"/>
        <v>0</v>
      </c>
      <c r="AB140" s="494">
        <f t="shared" si="341"/>
        <v>0</v>
      </c>
      <c r="AC140" s="494">
        <f t="shared" si="342"/>
        <v>0</v>
      </c>
      <c r="AD140" s="492">
        <v>0</v>
      </c>
      <c r="AE140" s="753">
        <f t="shared" si="343"/>
        <v>0</v>
      </c>
      <c r="AF140" s="688">
        <v>0</v>
      </c>
      <c r="AG140" s="326">
        <v>0</v>
      </c>
      <c r="AH140" s="326">
        <v>0</v>
      </c>
      <c r="AI140" s="326">
        <v>0</v>
      </c>
      <c r="AJ140" s="326">
        <v>0</v>
      </c>
      <c r="AK140" s="326">
        <v>0</v>
      </c>
      <c r="AL140" s="609">
        <f t="shared" si="344"/>
        <v>0</v>
      </c>
      <c r="AM140" s="493">
        <f>I140+AE140</f>
        <v>401213</v>
      </c>
      <c r="AN140" s="492">
        <f>J140+V140</f>
        <v>297636</v>
      </c>
      <c r="AO140" s="573">
        <f t="shared" si="345"/>
        <v>0</v>
      </c>
      <c r="AP140" s="492">
        <f>L140+AB140</f>
        <v>100601</v>
      </c>
      <c r="AQ140" s="492">
        <f>M140+AC140</f>
        <v>2976</v>
      </c>
      <c r="AR140" s="573">
        <f t="shared" si="346"/>
        <v>0</v>
      </c>
      <c r="AS140" s="491">
        <f t="shared" si="347"/>
        <v>0.75</v>
      </c>
    </row>
    <row r="141" spans="1:45" s="152" customFormat="1" ht="12.75" customHeight="1" x14ac:dyDescent="0.2">
      <c r="A141" s="105">
        <v>36</v>
      </c>
      <c r="B141" s="12">
        <v>3433</v>
      </c>
      <c r="C141" s="104">
        <v>600078043</v>
      </c>
      <c r="D141" s="104">
        <v>70695130</v>
      </c>
      <c r="E141" s="153" t="s">
        <v>75</v>
      </c>
      <c r="F141" s="12"/>
      <c r="G141" s="153"/>
      <c r="H141" s="407"/>
      <c r="I141" s="746">
        <v>3571050</v>
      </c>
      <c r="J141" s="378">
        <v>2649147</v>
      </c>
      <c r="K141" s="378">
        <v>0</v>
      </c>
      <c r="L141" s="378">
        <v>895412</v>
      </c>
      <c r="M141" s="378">
        <v>26491</v>
      </c>
      <c r="N141" s="378">
        <v>0</v>
      </c>
      <c r="O141" s="340">
        <v>4.75</v>
      </c>
      <c r="P141" s="444">
        <f t="shared" ref="P141:AS141" si="348">SUM(P139:P140)</f>
        <v>0</v>
      </c>
      <c r="Q141" s="378">
        <f t="shared" si="348"/>
        <v>0</v>
      </c>
      <c r="R141" s="378">
        <f t="shared" si="348"/>
        <v>0</v>
      </c>
      <c r="S141" s="378">
        <f t="shared" si="348"/>
        <v>0</v>
      </c>
      <c r="T141" s="378">
        <f t="shared" si="348"/>
        <v>0</v>
      </c>
      <c r="U141" s="378">
        <f t="shared" si="348"/>
        <v>0</v>
      </c>
      <c r="V141" s="378">
        <f t="shared" si="348"/>
        <v>0</v>
      </c>
      <c r="W141" s="378">
        <f t="shared" si="348"/>
        <v>0</v>
      </c>
      <c r="X141" s="378">
        <f t="shared" si="348"/>
        <v>0</v>
      </c>
      <c r="Y141" s="378">
        <f t="shared" si="348"/>
        <v>0</v>
      </c>
      <c r="Z141" s="378">
        <f t="shared" si="348"/>
        <v>0</v>
      </c>
      <c r="AA141" s="378">
        <f t="shared" si="348"/>
        <v>0</v>
      </c>
      <c r="AB141" s="378">
        <f t="shared" si="348"/>
        <v>0</v>
      </c>
      <c r="AC141" s="378">
        <f t="shared" si="348"/>
        <v>0</v>
      </c>
      <c r="AD141" s="378">
        <f t="shared" si="348"/>
        <v>0</v>
      </c>
      <c r="AE141" s="752">
        <f t="shared" si="348"/>
        <v>0</v>
      </c>
      <c r="AF141" s="754">
        <f t="shared" si="348"/>
        <v>0</v>
      </c>
      <c r="AG141" s="398">
        <f t="shared" si="348"/>
        <v>0</v>
      </c>
      <c r="AH141" s="398">
        <f t="shared" si="348"/>
        <v>0</v>
      </c>
      <c r="AI141" s="398">
        <f t="shared" si="348"/>
        <v>0</v>
      </c>
      <c r="AJ141" s="398">
        <f t="shared" si="348"/>
        <v>0</v>
      </c>
      <c r="AK141" s="398">
        <f t="shared" si="348"/>
        <v>0</v>
      </c>
      <c r="AL141" s="340">
        <f t="shared" si="348"/>
        <v>0</v>
      </c>
      <c r="AM141" s="444">
        <f t="shared" si="348"/>
        <v>3571050</v>
      </c>
      <c r="AN141" s="378">
        <f t="shared" si="348"/>
        <v>2649147</v>
      </c>
      <c r="AO141" s="378">
        <f t="shared" si="348"/>
        <v>0</v>
      </c>
      <c r="AP141" s="378">
        <f t="shared" si="348"/>
        <v>895412</v>
      </c>
      <c r="AQ141" s="378">
        <f t="shared" si="348"/>
        <v>26491</v>
      </c>
      <c r="AR141" s="378">
        <f t="shared" si="348"/>
        <v>0</v>
      </c>
      <c r="AS141" s="398">
        <f t="shared" si="348"/>
        <v>4.75</v>
      </c>
    </row>
    <row r="142" spans="1:45" s="152" customFormat="1" ht="12.75" customHeight="1" x14ac:dyDescent="0.2">
      <c r="A142" s="154">
        <v>37</v>
      </c>
      <c r="B142" s="155">
        <v>3432</v>
      </c>
      <c r="C142" s="155">
        <v>600078329</v>
      </c>
      <c r="D142" s="155">
        <v>70695121</v>
      </c>
      <c r="E142" s="156" t="s">
        <v>76</v>
      </c>
      <c r="F142" s="155">
        <v>3117</v>
      </c>
      <c r="G142" s="156" t="s">
        <v>280</v>
      </c>
      <c r="H142" s="157" t="s">
        <v>262</v>
      </c>
      <c r="I142" s="610">
        <v>4827371</v>
      </c>
      <c r="J142" s="410">
        <v>3581136</v>
      </c>
      <c r="K142" s="410">
        <v>0</v>
      </c>
      <c r="L142" s="431">
        <v>1210424</v>
      </c>
      <c r="M142" s="431">
        <v>35811</v>
      </c>
      <c r="N142" s="431">
        <v>0</v>
      </c>
      <c r="O142" s="747">
        <v>5.45</v>
      </c>
      <c r="P142" s="445">
        <f>W142*-1</f>
        <v>0</v>
      </c>
      <c r="Q142" s="325">
        <v>0</v>
      </c>
      <c r="R142" s="325">
        <v>0</v>
      </c>
      <c r="S142" s="325">
        <v>0</v>
      </c>
      <c r="T142" s="325">
        <v>0</v>
      </c>
      <c r="U142" s="325">
        <v>0</v>
      </c>
      <c r="V142" s="492">
        <f t="shared" ref="V142:V144" si="349">P142+Q142+R142+S142+T142+U142</f>
        <v>0</v>
      </c>
      <c r="W142" s="325">
        <v>0</v>
      </c>
      <c r="X142" s="325">
        <v>0</v>
      </c>
      <c r="Y142" s="325">
        <v>0</v>
      </c>
      <c r="Z142" s="492">
        <f t="shared" ref="Z142:Z144" si="350">W142+X142+Y142</f>
        <v>0</v>
      </c>
      <c r="AA142" s="492">
        <f t="shared" ref="AA142:AA144" si="351">V142+Z142</f>
        <v>0</v>
      </c>
      <c r="AB142" s="494">
        <f t="shared" ref="AB142:AB144" si="352">ROUND((V142+Z142)*33.8%,0)</f>
        <v>0</v>
      </c>
      <c r="AC142" s="494">
        <f t="shared" ref="AC142:AC144" si="353">ROUND(V142*1%,0)</f>
        <v>0</v>
      </c>
      <c r="AD142" s="492">
        <v>0</v>
      </c>
      <c r="AE142" s="753">
        <f t="shared" ref="AE142:AE144" si="354">AA142+AB142+AC142+AD142</f>
        <v>0</v>
      </c>
      <c r="AF142" s="688">
        <v>0</v>
      </c>
      <c r="AG142" s="326">
        <v>0</v>
      </c>
      <c r="AH142" s="326">
        <v>0</v>
      </c>
      <c r="AI142" s="326">
        <v>0</v>
      </c>
      <c r="AJ142" s="326">
        <v>0</v>
      </c>
      <c r="AK142" s="326">
        <v>0</v>
      </c>
      <c r="AL142" s="609">
        <f t="shared" ref="AL142:AL144" si="355">SUM(AF142:AK142)</f>
        <v>0</v>
      </c>
      <c r="AM142" s="493">
        <f>I142+AE142</f>
        <v>4827371</v>
      </c>
      <c r="AN142" s="492">
        <f>J142+V142</f>
        <v>3581136</v>
      </c>
      <c r="AO142" s="573">
        <f t="shared" ref="AO142:AO144" si="356">K142+Z142</f>
        <v>0</v>
      </c>
      <c r="AP142" s="492">
        <f t="shared" ref="AP142:AR144" si="357">L142+AB142</f>
        <v>1210424</v>
      </c>
      <c r="AQ142" s="492">
        <f t="shared" si="357"/>
        <v>35811</v>
      </c>
      <c r="AR142" s="573">
        <f t="shared" si="357"/>
        <v>0</v>
      </c>
      <c r="AS142" s="491">
        <f t="shared" ref="AS142:AS144" si="358">O142+AL142</f>
        <v>5.45</v>
      </c>
    </row>
    <row r="143" spans="1:45" s="152" customFormat="1" x14ac:dyDescent="0.2">
      <c r="A143" s="154">
        <v>37</v>
      </c>
      <c r="B143" s="155">
        <v>3432</v>
      </c>
      <c r="C143" s="155">
        <v>600078329</v>
      </c>
      <c r="D143" s="155">
        <v>70695121</v>
      </c>
      <c r="E143" s="156" t="s">
        <v>76</v>
      </c>
      <c r="F143" s="155">
        <v>3117</v>
      </c>
      <c r="G143" s="156" t="s">
        <v>278</v>
      </c>
      <c r="H143" s="157" t="s">
        <v>263</v>
      </c>
      <c r="I143" s="580">
        <v>1010469</v>
      </c>
      <c r="J143" s="323">
        <v>749606</v>
      </c>
      <c r="K143" s="410">
        <v>0</v>
      </c>
      <c r="L143" s="431">
        <v>253367</v>
      </c>
      <c r="M143" s="431">
        <v>7496</v>
      </c>
      <c r="N143" s="431">
        <v>0</v>
      </c>
      <c r="O143" s="748">
        <v>1.89</v>
      </c>
      <c r="P143" s="440">
        <f>W143*-1</f>
        <v>0</v>
      </c>
      <c r="Q143" s="325">
        <v>33067</v>
      </c>
      <c r="R143" s="325">
        <v>0</v>
      </c>
      <c r="S143" s="325">
        <v>0</v>
      </c>
      <c r="T143" s="325">
        <v>0</v>
      </c>
      <c r="U143" s="325">
        <v>0</v>
      </c>
      <c r="V143" s="492">
        <f t="shared" si="349"/>
        <v>33067</v>
      </c>
      <c r="W143" s="325">
        <v>0</v>
      </c>
      <c r="X143" s="325">
        <v>0</v>
      </c>
      <c r="Y143" s="325">
        <v>0</v>
      </c>
      <c r="Z143" s="492">
        <f t="shared" si="350"/>
        <v>0</v>
      </c>
      <c r="AA143" s="492">
        <f t="shared" si="351"/>
        <v>33067</v>
      </c>
      <c r="AB143" s="494">
        <f t="shared" si="352"/>
        <v>11177</v>
      </c>
      <c r="AC143" s="494">
        <f t="shared" si="353"/>
        <v>331</v>
      </c>
      <c r="AD143" s="492">
        <v>0</v>
      </c>
      <c r="AE143" s="753">
        <f t="shared" si="354"/>
        <v>44575</v>
      </c>
      <c r="AF143" s="688">
        <v>0</v>
      </c>
      <c r="AG143" s="326">
        <v>0.08</v>
      </c>
      <c r="AH143" s="326">
        <v>0</v>
      </c>
      <c r="AI143" s="326">
        <v>0</v>
      </c>
      <c r="AJ143" s="326">
        <v>0</v>
      </c>
      <c r="AK143" s="326">
        <v>0</v>
      </c>
      <c r="AL143" s="609">
        <f t="shared" si="355"/>
        <v>0.08</v>
      </c>
      <c r="AM143" s="493">
        <f>I143+AE143</f>
        <v>1055044</v>
      </c>
      <c r="AN143" s="492">
        <f>J143+V143</f>
        <v>782673</v>
      </c>
      <c r="AO143" s="573">
        <f t="shared" si="356"/>
        <v>0</v>
      </c>
      <c r="AP143" s="492">
        <f t="shared" si="357"/>
        <v>264544</v>
      </c>
      <c r="AQ143" s="492">
        <f t="shared" si="357"/>
        <v>7827</v>
      </c>
      <c r="AR143" s="573">
        <f t="shared" si="357"/>
        <v>0</v>
      </c>
      <c r="AS143" s="491">
        <f t="shared" si="358"/>
        <v>1.97</v>
      </c>
    </row>
    <row r="144" spans="1:45" s="152" customFormat="1" ht="12.75" customHeight="1" x14ac:dyDescent="0.2">
      <c r="A144" s="154">
        <v>37</v>
      </c>
      <c r="B144" s="155">
        <v>3432</v>
      </c>
      <c r="C144" s="155">
        <v>600078329</v>
      </c>
      <c r="D144" s="155">
        <v>70695121</v>
      </c>
      <c r="E144" s="156" t="s">
        <v>77</v>
      </c>
      <c r="F144" s="155">
        <v>3143</v>
      </c>
      <c r="G144" s="156" t="s">
        <v>794</v>
      </c>
      <c r="H144" s="157" t="s">
        <v>262</v>
      </c>
      <c r="I144" s="580">
        <v>689902</v>
      </c>
      <c r="J144" s="323">
        <v>511797</v>
      </c>
      <c r="K144" s="410">
        <v>0</v>
      </c>
      <c r="L144" s="431">
        <v>172987</v>
      </c>
      <c r="M144" s="431">
        <v>5118</v>
      </c>
      <c r="N144" s="431">
        <v>0</v>
      </c>
      <c r="O144" s="748">
        <v>0.93</v>
      </c>
      <c r="P144" s="440">
        <f>W144*-1</f>
        <v>0</v>
      </c>
      <c r="Q144" s="325">
        <v>0</v>
      </c>
      <c r="R144" s="325">
        <v>0</v>
      </c>
      <c r="S144" s="325">
        <v>0</v>
      </c>
      <c r="T144" s="325">
        <v>0</v>
      </c>
      <c r="U144" s="325">
        <v>0</v>
      </c>
      <c r="V144" s="492">
        <f t="shared" si="349"/>
        <v>0</v>
      </c>
      <c r="W144" s="325">
        <v>0</v>
      </c>
      <c r="X144" s="325">
        <v>0</v>
      </c>
      <c r="Y144" s="325">
        <v>0</v>
      </c>
      <c r="Z144" s="492">
        <f t="shared" si="350"/>
        <v>0</v>
      </c>
      <c r="AA144" s="492">
        <f t="shared" si="351"/>
        <v>0</v>
      </c>
      <c r="AB144" s="494">
        <f t="shared" si="352"/>
        <v>0</v>
      </c>
      <c r="AC144" s="494">
        <f t="shared" si="353"/>
        <v>0</v>
      </c>
      <c r="AD144" s="492">
        <v>0</v>
      </c>
      <c r="AE144" s="753">
        <f t="shared" si="354"/>
        <v>0</v>
      </c>
      <c r="AF144" s="688">
        <v>0</v>
      </c>
      <c r="AG144" s="326">
        <v>0</v>
      </c>
      <c r="AH144" s="326">
        <v>0</v>
      </c>
      <c r="AI144" s="326">
        <v>0</v>
      </c>
      <c r="AJ144" s="326">
        <v>0</v>
      </c>
      <c r="AK144" s="326">
        <v>0</v>
      </c>
      <c r="AL144" s="609">
        <f t="shared" si="355"/>
        <v>0</v>
      </c>
      <c r="AM144" s="493">
        <f>I144+AE144</f>
        <v>689902</v>
      </c>
      <c r="AN144" s="492">
        <f>J144+V144</f>
        <v>511797</v>
      </c>
      <c r="AO144" s="573">
        <f t="shared" si="356"/>
        <v>0</v>
      </c>
      <c r="AP144" s="492">
        <f t="shared" si="357"/>
        <v>172987</v>
      </c>
      <c r="AQ144" s="492">
        <f t="shared" si="357"/>
        <v>5118</v>
      </c>
      <c r="AR144" s="573">
        <f t="shared" si="357"/>
        <v>0</v>
      </c>
      <c r="AS144" s="491">
        <f t="shared" si="358"/>
        <v>0.93</v>
      </c>
    </row>
    <row r="145" spans="1:45" s="152" customFormat="1" ht="13.5" customHeight="1" x14ac:dyDescent="0.2">
      <c r="A145" s="105">
        <v>37</v>
      </c>
      <c r="B145" s="12">
        <v>3432</v>
      </c>
      <c r="C145" s="104">
        <v>600078329</v>
      </c>
      <c r="D145" s="104">
        <v>70695121</v>
      </c>
      <c r="E145" s="153" t="s">
        <v>78</v>
      </c>
      <c r="F145" s="12"/>
      <c r="G145" s="153"/>
      <c r="H145" s="407"/>
      <c r="I145" s="746">
        <v>6527742</v>
      </c>
      <c r="J145" s="378">
        <v>4842539</v>
      </c>
      <c r="K145" s="378">
        <v>0</v>
      </c>
      <c r="L145" s="378">
        <v>1636778</v>
      </c>
      <c r="M145" s="378">
        <v>48425</v>
      </c>
      <c r="N145" s="378">
        <v>0</v>
      </c>
      <c r="O145" s="340">
        <v>8.27</v>
      </c>
      <c r="P145" s="444">
        <f t="shared" ref="P145:AS145" si="359">SUM(P142:P144)</f>
        <v>0</v>
      </c>
      <c r="Q145" s="378">
        <f t="shared" si="359"/>
        <v>33067</v>
      </c>
      <c r="R145" s="378">
        <f t="shared" si="359"/>
        <v>0</v>
      </c>
      <c r="S145" s="378">
        <f t="shared" si="359"/>
        <v>0</v>
      </c>
      <c r="T145" s="378">
        <f t="shared" si="359"/>
        <v>0</v>
      </c>
      <c r="U145" s="378">
        <f t="shared" si="359"/>
        <v>0</v>
      </c>
      <c r="V145" s="378">
        <f t="shared" si="359"/>
        <v>33067</v>
      </c>
      <c r="W145" s="378">
        <f t="shared" si="359"/>
        <v>0</v>
      </c>
      <c r="X145" s="378">
        <f t="shared" si="359"/>
        <v>0</v>
      </c>
      <c r="Y145" s="378">
        <f t="shared" si="359"/>
        <v>0</v>
      </c>
      <c r="Z145" s="378">
        <f t="shared" si="359"/>
        <v>0</v>
      </c>
      <c r="AA145" s="378">
        <f t="shared" si="359"/>
        <v>33067</v>
      </c>
      <c r="AB145" s="378">
        <f t="shared" si="359"/>
        <v>11177</v>
      </c>
      <c r="AC145" s="378">
        <f t="shared" si="359"/>
        <v>331</v>
      </c>
      <c r="AD145" s="378">
        <f t="shared" si="359"/>
        <v>0</v>
      </c>
      <c r="AE145" s="752">
        <f t="shared" si="359"/>
        <v>44575</v>
      </c>
      <c r="AF145" s="754">
        <f t="shared" si="359"/>
        <v>0</v>
      </c>
      <c r="AG145" s="398">
        <f t="shared" si="359"/>
        <v>0.08</v>
      </c>
      <c r="AH145" s="398">
        <f t="shared" si="359"/>
        <v>0</v>
      </c>
      <c r="AI145" s="398">
        <f t="shared" si="359"/>
        <v>0</v>
      </c>
      <c r="AJ145" s="398">
        <f t="shared" si="359"/>
        <v>0</v>
      </c>
      <c r="AK145" s="398">
        <f t="shared" si="359"/>
        <v>0</v>
      </c>
      <c r="AL145" s="340">
        <f t="shared" si="359"/>
        <v>0.08</v>
      </c>
      <c r="AM145" s="444">
        <f t="shared" si="359"/>
        <v>6572317</v>
      </c>
      <c r="AN145" s="378">
        <f t="shared" si="359"/>
        <v>4875606</v>
      </c>
      <c r="AO145" s="378">
        <f t="shared" si="359"/>
        <v>0</v>
      </c>
      <c r="AP145" s="378">
        <f t="shared" si="359"/>
        <v>1647955</v>
      </c>
      <c r="AQ145" s="378">
        <f t="shared" si="359"/>
        <v>48756</v>
      </c>
      <c r="AR145" s="378">
        <f t="shared" si="359"/>
        <v>0</v>
      </c>
      <c r="AS145" s="398">
        <f t="shared" si="359"/>
        <v>8.35</v>
      </c>
    </row>
    <row r="146" spans="1:45" s="152" customFormat="1" ht="12.75" customHeight="1" x14ac:dyDescent="0.2">
      <c r="A146" s="154">
        <v>38</v>
      </c>
      <c r="B146" s="155">
        <v>3435</v>
      </c>
      <c r="C146" s="155">
        <v>650022131</v>
      </c>
      <c r="D146" s="155">
        <v>70981531</v>
      </c>
      <c r="E146" s="156" t="s">
        <v>79</v>
      </c>
      <c r="F146" s="155">
        <v>3111</v>
      </c>
      <c r="G146" s="156" t="s">
        <v>277</v>
      </c>
      <c r="H146" s="157" t="s">
        <v>262</v>
      </c>
      <c r="I146" s="610">
        <v>8243634</v>
      </c>
      <c r="J146" s="410">
        <v>6115455</v>
      </c>
      <c r="K146" s="410">
        <v>0</v>
      </c>
      <c r="L146" s="431">
        <v>2067024</v>
      </c>
      <c r="M146" s="431">
        <v>61155</v>
      </c>
      <c r="N146" s="431">
        <v>0</v>
      </c>
      <c r="O146" s="747">
        <v>9.7899999999999991</v>
      </c>
      <c r="P146" s="445">
        <f>W146*-1</f>
        <v>0</v>
      </c>
      <c r="Q146" s="325">
        <v>0</v>
      </c>
      <c r="R146" s="325">
        <v>0</v>
      </c>
      <c r="S146" s="325">
        <v>0</v>
      </c>
      <c r="T146" s="325">
        <v>0</v>
      </c>
      <c r="U146" s="325">
        <v>0</v>
      </c>
      <c r="V146" s="492">
        <f t="shared" ref="V146:V150" si="360">P146+Q146+R146+S146+T146+U146</f>
        <v>0</v>
      </c>
      <c r="W146" s="325">
        <v>0</v>
      </c>
      <c r="X146" s="325">
        <v>0</v>
      </c>
      <c r="Y146" s="325">
        <v>0</v>
      </c>
      <c r="Z146" s="492">
        <f t="shared" ref="Z146:Z150" si="361">W146+X146+Y146</f>
        <v>0</v>
      </c>
      <c r="AA146" s="492">
        <f t="shared" ref="AA146:AA150" si="362">V146+Z146</f>
        <v>0</v>
      </c>
      <c r="AB146" s="494">
        <f t="shared" ref="AB146:AB150" si="363">ROUND((V146+Z146)*33.8%,0)</f>
        <v>0</v>
      </c>
      <c r="AC146" s="494">
        <f t="shared" ref="AC146:AC150" si="364">ROUND(V146*1%,0)</f>
        <v>0</v>
      </c>
      <c r="AD146" s="492">
        <v>0</v>
      </c>
      <c r="AE146" s="753">
        <f t="shared" ref="AE146:AE150" si="365">AA146+AB146+AC146+AD146</f>
        <v>0</v>
      </c>
      <c r="AF146" s="688">
        <v>0</v>
      </c>
      <c r="AG146" s="326">
        <v>0</v>
      </c>
      <c r="AH146" s="326">
        <v>0</v>
      </c>
      <c r="AI146" s="326">
        <v>0</v>
      </c>
      <c r="AJ146" s="326">
        <v>0</v>
      </c>
      <c r="AK146" s="326">
        <v>0</v>
      </c>
      <c r="AL146" s="609">
        <f t="shared" ref="AL146:AL150" si="366">SUM(AF146:AK146)</f>
        <v>0</v>
      </c>
      <c r="AM146" s="493">
        <f>I146+AE146</f>
        <v>8243634</v>
      </c>
      <c r="AN146" s="492">
        <f>J146+V146</f>
        <v>6115455</v>
      </c>
      <c r="AO146" s="573">
        <f t="shared" ref="AO146:AO150" si="367">K146+Z146</f>
        <v>0</v>
      </c>
      <c r="AP146" s="492">
        <f t="shared" ref="AP146:AR150" si="368">L146+AB146</f>
        <v>2067024</v>
      </c>
      <c r="AQ146" s="492">
        <f t="shared" si="368"/>
        <v>61155</v>
      </c>
      <c r="AR146" s="573">
        <f t="shared" si="368"/>
        <v>0</v>
      </c>
      <c r="AS146" s="491">
        <f t="shared" ref="AS146:AS150" si="369">O146+AL146</f>
        <v>9.7899999999999991</v>
      </c>
    </row>
    <row r="147" spans="1:45" s="152" customFormat="1" ht="13.5" customHeight="1" x14ac:dyDescent="0.2">
      <c r="A147" s="154">
        <v>38</v>
      </c>
      <c r="B147" s="155">
        <v>3435</v>
      </c>
      <c r="C147" s="155">
        <v>650022131</v>
      </c>
      <c r="D147" s="155">
        <v>70981531</v>
      </c>
      <c r="E147" s="156" t="s">
        <v>79</v>
      </c>
      <c r="F147" s="155">
        <v>3113</v>
      </c>
      <c r="G147" s="156" t="s">
        <v>280</v>
      </c>
      <c r="H147" s="157" t="s">
        <v>262</v>
      </c>
      <c r="I147" s="580">
        <v>23662315</v>
      </c>
      <c r="J147" s="323">
        <v>17547691</v>
      </c>
      <c r="K147" s="410">
        <v>6000</v>
      </c>
      <c r="L147" s="431">
        <v>5933148</v>
      </c>
      <c r="M147" s="431">
        <v>175476</v>
      </c>
      <c r="N147" s="431">
        <v>0</v>
      </c>
      <c r="O147" s="748">
        <v>24.27</v>
      </c>
      <c r="P147" s="440">
        <f>W147*-1</f>
        <v>-4000</v>
      </c>
      <c r="Q147" s="325">
        <v>0</v>
      </c>
      <c r="R147" s="325">
        <v>0</v>
      </c>
      <c r="S147" s="325">
        <v>0</v>
      </c>
      <c r="T147" s="325">
        <v>0</v>
      </c>
      <c r="U147" s="325">
        <v>0</v>
      </c>
      <c r="V147" s="492">
        <f t="shared" si="360"/>
        <v>-4000</v>
      </c>
      <c r="W147" s="325">
        <v>4000</v>
      </c>
      <c r="X147" s="325">
        <v>0</v>
      </c>
      <c r="Y147" s="325">
        <v>0</v>
      </c>
      <c r="Z147" s="492">
        <f t="shared" si="361"/>
        <v>4000</v>
      </c>
      <c r="AA147" s="492">
        <f t="shared" si="362"/>
        <v>0</v>
      </c>
      <c r="AB147" s="494">
        <f t="shared" si="363"/>
        <v>0</v>
      </c>
      <c r="AC147" s="494">
        <f t="shared" si="364"/>
        <v>-40</v>
      </c>
      <c r="AD147" s="492">
        <v>0</v>
      </c>
      <c r="AE147" s="753">
        <f t="shared" si="365"/>
        <v>-40</v>
      </c>
      <c r="AF147" s="688">
        <v>0</v>
      </c>
      <c r="AG147" s="326">
        <v>0</v>
      </c>
      <c r="AH147" s="326">
        <v>0</v>
      </c>
      <c r="AI147" s="326">
        <v>0</v>
      </c>
      <c r="AJ147" s="326">
        <v>0</v>
      </c>
      <c r="AK147" s="326">
        <v>0</v>
      </c>
      <c r="AL147" s="609">
        <f t="shared" si="366"/>
        <v>0</v>
      </c>
      <c r="AM147" s="493">
        <f>I147+AE147</f>
        <v>23662275</v>
      </c>
      <c r="AN147" s="492">
        <f>J147+V147</f>
        <v>17543691</v>
      </c>
      <c r="AO147" s="573">
        <f t="shared" si="367"/>
        <v>10000</v>
      </c>
      <c r="AP147" s="492">
        <f t="shared" si="368"/>
        <v>5933148</v>
      </c>
      <c r="AQ147" s="492">
        <f t="shared" si="368"/>
        <v>175436</v>
      </c>
      <c r="AR147" s="573">
        <f t="shared" si="368"/>
        <v>0</v>
      </c>
      <c r="AS147" s="491">
        <f t="shared" si="369"/>
        <v>24.27</v>
      </c>
    </row>
    <row r="148" spans="1:45" s="152" customFormat="1" ht="13.5" customHeight="1" x14ac:dyDescent="0.2">
      <c r="A148" s="154">
        <v>38</v>
      </c>
      <c r="B148" s="155">
        <v>3435</v>
      </c>
      <c r="C148" s="155">
        <v>650022131</v>
      </c>
      <c r="D148" s="155">
        <v>70981531</v>
      </c>
      <c r="E148" s="156" t="s">
        <v>79</v>
      </c>
      <c r="F148" s="155">
        <v>3113</v>
      </c>
      <c r="G148" s="156" t="s">
        <v>799</v>
      </c>
      <c r="H148" s="157" t="s">
        <v>262</v>
      </c>
      <c r="I148" s="580">
        <v>595864</v>
      </c>
      <c r="J148" s="323">
        <v>442036</v>
      </c>
      <c r="K148" s="410">
        <v>0</v>
      </c>
      <c r="L148" s="431">
        <v>149408</v>
      </c>
      <c r="M148" s="431">
        <v>4420</v>
      </c>
      <c r="N148" s="431">
        <v>0</v>
      </c>
      <c r="O148" s="748">
        <v>0.79</v>
      </c>
      <c r="P148" s="440">
        <f>W148*-1</f>
        <v>0</v>
      </c>
      <c r="Q148" s="325">
        <v>0</v>
      </c>
      <c r="R148" s="325">
        <v>0</v>
      </c>
      <c r="S148" s="325">
        <v>0</v>
      </c>
      <c r="T148" s="325">
        <v>0</v>
      </c>
      <c r="U148" s="325">
        <v>0</v>
      </c>
      <c r="V148" s="492">
        <f t="shared" si="360"/>
        <v>0</v>
      </c>
      <c r="W148" s="325">
        <v>0</v>
      </c>
      <c r="X148" s="325">
        <v>0</v>
      </c>
      <c r="Y148" s="325">
        <v>0</v>
      </c>
      <c r="Z148" s="492">
        <f t="shared" si="361"/>
        <v>0</v>
      </c>
      <c r="AA148" s="492">
        <f t="shared" si="362"/>
        <v>0</v>
      </c>
      <c r="AB148" s="494">
        <f t="shared" si="363"/>
        <v>0</v>
      </c>
      <c r="AC148" s="494">
        <f t="shared" si="364"/>
        <v>0</v>
      </c>
      <c r="AD148" s="492">
        <v>0</v>
      </c>
      <c r="AE148" s="753">
        <f t="shared" si="365"/>
        <v>0</v>
      </c>
      <c r="AF148" s="688">
        <v>0</v>
      </c>
      <c r="AG148" s="326">
        <v>0</v>
      </c>
      <c r="AH148" s="326">
        <v>0</v>
      </c>
      <c r="AI148" s="326">
        <v>0</v>
      </c>
      <c r="AJ148" s="326">
        <v>0</v>
      </c>
      <c r="AK148" s="326">
        <v>0</v>
      </c>
      <c r="AL148" s="609">
        <f t="shared" si="366"/>
        <v>0</v>
      </c>
      <c r="AM148" s="493">
        <f>I148+AE148</f>
        <v>595864</v>
      </c>
      <c r="AN148" s="492">
        <f>J148+V148</f>
        <v>442036</v>
      </c>
      <c r="AO148" s="573">
        <f t="shared" si="367"/>
        <v>0</v>
      </c>
      <c r="AP148" s="492">
        <f t="shared" si="368"/>
        <v>149408</v>
      </c>
      <c r="AQ148" s="492">
        <f t="shared" si="368"/>
        <v>4420</v>
      </c>
      <c r="AR148" s="573">
        <f t="shared" si="368"/>
        <v>0</v>
      </c>
      <c r="AS148" s="491">
        <f t="shared" si="369"/>
        <v>0.79</v>
      </c>
    </row>
    <row r="149" spans="1:45" s="152" customFormat="1" ht="13.5" customHeight="1" x14ac:dyDescent="0.2">
      <c r="A149" s="154">
        <v>38</v>
      </c>
      <c r="B149" s="155">
        <v>3435</v>
      </c>
      <c r="C149" s="155">
        <v>650022131</v>
      </c>
      <c r="D149" s="155">
        <v>70981531</v>
      </c>
      <c r="E149" s="156" t="s">
        <v>79</v>
      </c>
      <c r="F149" s="155">
        <v>3113</v>
      </c>
      <c r="G149" s="156" t="s">
        <v>278</v>
      </c>
      <c r="H149" s="157" t="s">
        <v>263</v>
      </c>
      <c r="I149" s="580">
        <v>7816796</v>
      </c>
      <c r="J149" s="323">
        <v>5798810</v>
      </c>
      <c r="K149" s="410">
        <v>0</v>
      </c>
      <c r="L149" s="431">
        <v>1959998</v>
      </c>
      <c r="M149" s="431">
        <v>57988</v>
      </c>
      <c r="N149" s="431">
        <v>0</v>
      </c>
      <c r="O149" s="748">
        <v>14.41</v>
      </c>
      <c r="P149" s="440">
        <f>W149*-1</f>
        <v>0</v>
      </c>
      <c r="Q149" s="325">
        <v>0</v>
      </c>
      <c r="R149" s="325">
        <v>0</v>
      </c>
      <c r="S149" s="325">
        <v>0</v>
      </c>
      <c r="T149" s="325">
        <v>0</v>
      </c>
      <c r="U149" s="325">
        <v>0</v>
      </c>
      <c r="V149" s="492">
        <f t="shared" si="360"/>
        <v>0</v>
      </c>
      <c r="W149" s="325">
        <v>0</v>
      </c>
      <c r="X149" s="325">
        <v>0</v>
      </c>
      <c r="Y149" s="325">
        <v>0</v>
      </c>
      <c r="Z149" s="492">
        <f t="shared" si="361"/>
        <v>0</v>
      </c>
      <c r="AA149" s="492">
        <f t="shared" si="362"/>
        <v>0</v>
      </c>
      <c r="AB149" s="494">
        <f t="shared" si="363"/>
        <v>0</v>
      </c>
      <c r="AC149" s="494">
        <f t="shared" si="364"/>
        <v>0</v>
      </c>
      <c r="AD149" s="492">
        <v>0</v>
      </c>
      <c r="AE149" s="753">
        <f t="shared" si="365"/>
        <v>0</v>
      </c>
      <c r="AF149" s="688">
        <v>0</v>
      </c>
      <c r="AG149" s="326">
        <v>0</v>
      </c>
      <c r="AH149" s="326">
        <v>0</v>
      </c>
      <c r="AI149" s="326">
        <v>0</v>
      </c>
      <c r="AJ149" s="326">
        <v>0</v>
      </c>
      <c r="AK149" s="326">
        <v>0</v>
      </c>
      <c r="AL149" s="609">
        <f t="shared" si="366"/>
        <v>0</v>
      </c>
      <c r="AM149" s="493">
        <f>I149+AE149</f>
        <v>7816796</v>
      </c>
      <c r="AN149" s="492">
        <f>J149+V149</f>
        <v>5798810</v>
      </c>
      <c r="AO149" s="573">
        <f t="shared" si="367"/>
        <v>0</v>
      </c>
      <c r="AP149" s="492">
        <f t="shared" si="368"/>
        <v>1959998</v>
      </c>
      <c r="AQ149" s="492">
        <f t="shared" si="368"/>
        <v>57988</v>
      </c>
      <c r="AR149" s="573">
        <f t="shared" si="368"/>
        <v>0</v>
      </c>
      <c r="AS149" s="491">
        <f t="shared" si="369"/>
        <v>14.41</v>
      </c>
    </row>
    <row r="150" spans="1:45" s="152" customFormat="1" ht="12.75" customHeight="1" x14ac:dyDescent="0.2">
      <c r="A150" s="154">
        <v>38</v>
      </c>
      <c r="B150" s="155">
        <v>3435</v>
      </c>
      <c r="C150" s="155">
        <v>650022131</v>
      </c>
      <c r="D150" s="155">
        <v>70981531</v>
      </c>
      <c r="E150" s="156" t="s">
        <v>79</v>
      </c>
      <c r="F150" s="155">
        <v>3143</v>
      </c>
      <c r="G150" s="156" t="s">
        <v>794</v>
      </c>
      <c r="H150" s="157" t="s">
        <v>262</v>
      </c>
      <c r="I150" s="580">
        <v>2202437</v>
      </c>
      <c r="J150" s="323">
        <v>1633855</v>
      </c>
      <c r="K150" s="410">
        <v>0</v>
      </c>
      <c r="L150" s="431">
        <v>552243</v>
      </c>
      <c r="M150" s="431">
        <v>16339</v>
      </c>
      <c r="N150" s="431">
        <v>0</v>
      </c>
      <c r="O150" s="748">
        <v>3.14</v>
      </c>
      <c r="P150" s="440">
        <f>W150*-1</f>
        <v>0</v>
      </c>
      <c r="Q150" s="325">
        <v>0</v>
      </c>
      <c r="R150" s="325">
        <v>0</v>
      </c>
      <c r="S150" s="325">
        <v>0</v>
      </c>
      <c r="T150" s="325">
        <v>0</v>
      </c>
      <c r="U150" s="325">
        <v>0</v>
      </c>
      <c r="V150" s="492">
        <f t="shared" si="360"/>
        <v>0</v>
      </c>
      <c r="W150" s="325">
        <v>0</v>
      </c>
      <c r="X150" s="325">
        <v>0</v>
      </c>
      <c r="Y150" s="325">
        <v>0</v>
      </c>
      <c r="Z150" s="492">
        <f t="shared" si="361"/>
        <v>0</v>
      </c>
      <c r="AA150" s="492">
        <f t="shared" si="362"/>
        <v>0</v>
      </c>
      <c r="AB150" s="494">
        <f t="shared" si="363"/>
        <v>0</v>
      </c>
      <c r="AC150" s="494">
        <f t="shared" si="364"/>
        <v>0</v>
      </c>
      <c r="AD150" s="492">
        <v>0</v>
      </c>
      <c r="AE150" s="753">
        <f t="shared" si="365"/>
        <v>0</v>
      </c>
      <c r="AF150" s="688">
        <v>0</v>
      </c>
      <c r="AG150" s="326">
        <v>0</v>
      </c>
      <c r="AH150" s="326">
        <v>0</v>
      </c>
      <c r="AI150" s="326">
        <v>0</v>
      </c>
      <c r="AJ150" s="326">
        <v>0</v>
      </c>
      <c r="AK150" s="326">
        <v>0</v>
      </c>
      <c r="AL150" s="609">
        <f t="shared" si="366"/>
        <v>0</v>
      </c>
      <c r="AM150" s="493">
        <f>I150+AE150</f>
        <v>2202437</v>
      </c>
      <c r="AN150" s="492">
        <f>J150+V150</f>
        <v>1633855</v>
      </c>
      <c r="AO150" s="573">
        <f t="shared" si="367"/>
        <v>0</v>
      </c>
      <c r="AP150" s="492">
        <f t="shared" si="368"/>
        <v>552243</v>
      </c>
      <c r="AQ150" s="492">
        <f t="shared" si="368"/>
        <v>16339</v>
      </c>
      <c r="AR150" s="573">
        <f t="shared" si="368"/>
        <v>0</v>
      </c>
      <c r="AS150" s="491">
        <f t="shared" si="369"/>
        <v>3.14</v>
      </c>
    </row>
    <row r="151" spans="1:45" s="152" customFormat="1" ht="12.75" customHeight="1" thickBot="1" x14ac:dyDescent="0.25">
      <c r="A151" s="108">
        <v>38</v>
      </c>
      <c r="B151" s="109">
        <v>3435</v>
      </c>
      <c r="C151" s="110">
        <v>650022131</v>
      </c>
      <c r="D151" s="110">
        <v>70981531</v>
      </c>
      <c r="E151" s="158" t="s">
        <v>80</v>
      </c>
      <c r="F151" s="109"/>
      <c r="G151" s="158"/>
      <c r="H151" s="408"/>
      <c r="I151" s="749">
        <v>42521046</v>
      </c>
      <c r="J151" s="414">
        <v>31537847</v>
      </c>
      <c r="K151" s="414">
        <v>6000</v>
      </c>
      <c r="L151" s="414">
        <v>10661821</v>
      </c>
      <c r="M151" s="414">
        <v>315378</v>
      </c>
      <c r="N151" s="414">
        <v>0</v>
      </c>
      <c r="O151" s="750">
        <v>52.400000000000006</v>
      </c>
      <c r="P151" s="446">
        <f t="shared" ref="P151:AS151" si="370">SUM(P146:P150)</f>
        <v>-4000</v>
      </c>
      <c r="Q151" s="414">
        <f t="shared" si="370"/>
        <v>0</v>
      </c>
      <c r="R151" s="414">
        <f t="shared" si="370"/>
        <v>0</v>
      </c>
      <c r="S151" s="414">
        <f t="shared" si="370"/>
        <v>0</v>
      </c>
      <c r="T151" s="414">
        <f t="shared" si="370"/>
        <v>0</v>
      </c>
      <c r="U151" s="414">
        <f t="shared" si="370"/>
        <v>0</v>
      </c>
      <c r="V151" s="414">
        <f t="shared" si="370"/>
        <v>-4000</v>
      </c>
      <c r="W151" s="378">
        <f t="shared" si="370"/>
        <v>4000</v>
      </c>
      <c r="X151" s="378">
        <f t="shared" si="370"/>
        <v>0</v>
      </c>
      <c r="Y151" s="378">
        <f t="shared" si="370"/>
        <v>0</v>
      </c>
      <c r="Z151" s="378">
        <f t="shared" si="370"/>
        <v>4000</v>
      </c>
      <c r="AA151" s="378">
        <f t="shared" si="370"/>
        <v>0</v>
      </c>
      <c r="AB151" s="378">
        <f t="shared" si="370"/>
        <v>0</v>
      </c>
      <c r="AC151" s="378">
        <f t="shared" si="370"/>
        <v>-40</v>
      </c>
      <c r="AD151" s="378">
        <f t="shared" si="370"/>
        <v>0</v>
      </c>
      <c r="AE151" s="752">
        <f t="shared" si="370"/>
        <v>-40</v>
      </c>
      <c r="AF151" s="755">
        <f t="shared" si="370"/>
        <v>0</v>
      </c>
      <c r="AG151" s="415">
        <f t="shared" si="370"/>
        <v>0</v>
      </c>
      <c r="AH151" s="415">
        <f t="shared" si="370"/>
        <v>0</v>
      </c>
      <c r="AI151" s="415">
        <f t="shared" si="370"/>
        <v>0</v>
      </c>
      <c r="AJ151" s="415">
        <f t="shared" si="370"/>
        <v>0</v>
      </c>
      <c r="AK151" s="415">
        <f t="shared" si="370"/>
        <v>0</v>
      </c>
      <c r="AL151" s="750">
        <f t="shared" si="370"/>
        <v>0</v>
      </c>
      <c r="AM151" s="444">
        <f t="shared" si="370"/>
        <v>42521006</v>
      </c>
      <c r="AN151" s="378">
        <f t="shared" si="370"/>
        <v>31533847</v>
      </c>
      <c r="AO151" s="378">
        <f t="shared" si="370"/>
        <v>10000</v>
      </c>
      <c r="AP151" s="378">
        <f t="shared" si="370"/>
        <v>10661821</v>
      </c>
      <c r="AQ151" s="378">
        <f t="shared" si="370"/>
        <v>315338</v>
      </c>
      <c r="AR151" s="378">
        <f t="shared" si="370"/>
        <v>0</v>
      </c>
      <c r="AS151" s="398">
        <f t="shared" si="370"/>
        <v>52.400000000000006</v>
      </c>
    </row>
    <row r="152" spans="1:45" s="152" customFormat="1" ht="12.75" customHeight="1" thickBot="1" x14ac:dyDescent="0.25">
      <c r="A152" s="159"/>
      <c r="B152" s="160"/>
      <c r="C152" s="160"/>
      <c r="D152" s="160"/>
      <c r="E152" s="57" t="s">
        <v>726</v>
      </c>
      <c r="F152" s="160"/>
      <c r="G152" s="160"/>
      <c r="H152" s="404"/>
      <c r="I152" s="588">
        <f>I13+I16+I19+I22+I25+I27+I30+I33+I36+I39+I42+I45+I48+I51+I54+I57+I60+I64+I71+I76+I81+I86+I91+I96+I101+I105+I110+I112+I118+I123+I126+I130+I133+I138+I141+I145+I151+I66</f>
        <v>638504982</v>
      </c>
      <c r="J152" s="405">
        <f>J13+J16+J19+J22+J25+J27+J30+J33+J36+J39+J42+J45+J48+J51+J54+J57+J60+J64+J71+J76+J81+J86+J91+J96+J101+J105+J110+J112+J118+J123+J126+J130+J133+J138+J141+J145+J151+J66</f>
        <v>473222931</v>
      </c>
      <c r="K152" s="405">
        <f>K13+K16+K19+K22+K25+K27+K30+K33+K36+K39+K42+K45+K48+K51+K54+K57+K60+K64+K71+K76+K81+K86+K91+K96+K101+K105+K110+K112+K118+K123+K126+K130+K133+K138+K141+K145+K151+K66</f>
        <v>448776</v>
      </c>
      <c r="L152" s="405">
        <f t="shared" ref="L152:N152" si="371">L13+L16+L19+L22+L25+L27+L30+L33+L36+L39+L42+L45+L48+L51+L54+L57+L60+L64+L71+L76+L81+L86+L91+L96+L101+L105+L110+L112+L118+L123+L126+L130+L133+L138+L141+L145+L151+L66</f>
        <v>160101039</v>
      </c>
      <c r="M152" s="405">
        <f t="shared" si="371"/>
        <v>4732236</v>
      </c>
      <c r="N152" s="405">
        <f t="shared" si="371"/>
        <v>0</v>
      </c>
      <c r="O152" s="403">
        <f>O13+O16+O19+O22+O25+O27+O30+O33+O36+O39+O42+O45+O48+O51+O54+O57+O60+O64+O71+O76+O81+O86+O91+O96+O101+O105+O110+O112+O118+O123+O126+O130+O133+O138+O141+O145+O151+O66</f>
        <v>756.4799999999999</v>
      </c>
      <c r="P152" s="461">
        <f>P13+P16+P19+P22+P25+P27+P30+P33+P36+P39+P42+P45+P48+P51+P54+P57+P60+P64+P71+P76+P81+P86+P91+P96+P101+P105+P110+P112+P118+P123+P126+P130+P133+P138+P141+P145+P151+P66</f>
        <v>-299184</v>
      </c>
      <c r="Q152" s="405">
        <f>Q13+Q16+Q19+Q22+Q25+Q27+Q30+Q33+Q36+Q39+Q42+Q45+Q48+Q51+Q54+Q57+Q60+Q64+Q71+Q76+Q81+Q86+Q91+Q96+Q101+Q105+Q110+Q112+Q118+Q123+Q126+Q130+Q133+Q138+Q141+Q145+Q151+Q66</f>
        <v>-114769</v>
      </c>
      <c r="R152" s="405">
        <f t="shared" ref="R152:AE152" si="372">R13+R16+R19+R22+R25+R27+R30+R33+R36+R39+R42+R45+R48+R51+R54+R57+R60+R64+R71+R76+R81+R86+R91+R96+R101+R105+R110+R112+R118+R123+R126+R130+R133+R138+R141+R145+R151+R66</f>
        <v>0</v>
      </c>
      <c r="S152" s="405">
        <f t="shared" si="372"/>
        <v>0</v>
      </c>
      <c r="T152" s="405">
        <f t="shared" si="372"/>
        <v>0</v>
      </c>
      <c r="U152" s="405">
        <f t="shared" si="372"/>
        <v>0</v>
      </c>
      <c r="V152" s="405">
        <f t="shared" si="372"/>
        <v>-413953</v>
      </c>
      <c r="W152" s="405">
        <f t="shared" si="372"/>
        <v>299184</v>
      </c>
      <c r="X152" s="405">
        <f t="shared" si="372"/>
        <v>0</v>
      </c>
      <c r="Y152" s="405">
        <f t="shared" si="372"/>
        <v>0</v>
      </c>
      <c r="Z152" s="405">
        <f t="shared" si="372"/>
        <v>299184</v>
      </c>
      <c r="AA152" s="405">
        <f t="shared" si="372"/>
        <v>-114769</v>
      </c>
      <c r="AB152" s="405">
        <f t="shared" si="372"/>
        <v>-38791</v>
      </c>
      <c r="AC152" s="405">
        <f t="shared" si="372"/>
        <v>-4139</v>
      </c>
      <c r="AD152" s="405">
        <f t="shared" si="372"/>
        <v>0</v>
      </c>
      <c r="AE152" s="744">
        <f t="shared" si="372"/>
        <v>-157699</v>
      </c>
      <c r="AF152" s="589">
        <f>AF13+AF16+AF19+AF22+AF25+AF27+AF30+AF33+AF36+AF39+AF42+AF45+AF48+AF51+AF54+AF57+AF60+AF64+AF71+AF76+AF81+AF86+AF91+AF96+AF101+AF105+AF110+AF112+AF118+AF123+AF126+AF130+AF133+AF138+AF141+AF145+AF151+AF66</f>
        <v>-0.22</v>
      </c>
      <c r="AG152" s="402">
        <f>AG13+AG16+AG19+AG22+AG25+AG27+AG30+AG33+AG36+AG39+AG42+AG45+AG48+AG51+AG54+AG57+AG60+AG64+AG71+AG76+AG81+AG86+AG91+AG96+AG101+AG105+AG110+AG112+AG118+AG123+AG126+AG130+AG133+AG138+AG141+AG145+AG151+AG66</f>
        <v>-3.9999999999999994E-2</v>
      </c>
      <c r="AH152" s="402">
        <f t="shared" ref="AH152:AL152" si="373">AH13+AH16+AH19+AH22+AH25+AH27+AH30+AH33+AH36+AH39+AH42+AH45+AH48+AH51+AH54+AH57+AH60+AH64+AH71+AH76+AH81+AH86+AH91+AH96+AH101+AH105+AH110+AH112+AH118+AH123+AH126+AH130+AH133+AH138+AH141+AH145+AH151+AH66</f>
        <v>0</v>
      </c>
      <c r="AI152" s="402">
        <f t="shared" si="373"/>
        <v>0</v>
      </c>
      <c r="AJ152" s="402">
        <f t="shared" si="373"/>
        <v>0</v>
      </c>
      <c r="AK152" s="402">
        <f t="shared" si="373"/>
        <v>0</v>
      </c>
      <c r="AL152" s="403">
        <f t="shared" si="373"/>
        <v>-0.26</v>
      </c>
      <c r="AM152" s="461">
        <f>AM13+AM16+AM19+AM22+AM25+AM27+AM30+AM33+AM36+AM39+AM42+AM45+AM48+AM51+AM54+AM57+AM60+AM64+AM71+AM76+AM81+AM86+AM91+AM96+AM101+AM105+AM110+AM112+AM118+AM123+AM126+AM130+AM133+AM138+AM141+AM145+AM151+AM66</f>
        <v>638347283</v>
      </c>
      <c r="AN152" s="461">
        <f t="shared" ref="AN152:AR152" si="374">AN13+AN16+AN19+AN22+AN25+AN27+AN30+AN33+AN36+AN39+AN42+AN45+AN48+AN51+AN54+AN57+AN60+AN64+AN71+AN76+AN81+AN86+AN91+AN96+AN101+AN105+AN110+AN112+AN118+AN123+AN126+AN130+AN133+AN138+AN141+AN145+AN151+AN66</f>
        <v>472808978</v>
      </c>
      <c r="AO152" s="461">
        <f t="shared" si="374"/>
        <v>747960</v>
      </c>
      <c r="AP152" s="461">
        <f t="shared" si="374"/>
        <v>160062248</v>
      </c>
      <c r="AQ152" s="461">
        <f t="shared" si="374"/>
        <v>4728097</v>
      </c>
      <c r="AR152" s="461">
        <f t="shared" si="374"/>
        <v>0</v>
      </c>
      <c r="AS152" s="402">
        <f>AS13+AS16+AS19+AS22+AS25+AS27+AS30+AS33+AS36+AS39+AS42+AS45+AS48+AS51+AS54+AS57+AS60+AS64+AS71+AS76+AS81+AS86+AS91+AS96+AS101+AS105+AS110+AS112+AS118+AS123+AS126+AS130+AS133+AS138+AS141+AS145+AS151+AS66</f>
        <v>756.22000000000014</v>
      </c>
    </row>
    <row r="153" spans="1:45" ht="12.75" customHeight="1" x14ac:dyDescent="0.2">
      <c r="D153" s="8"/>
      <c r="E153" s="4"/>
      <c r="F153" s="8"/>
      <c r="G153" s="4"/>
      <c r="H153" s="4"/>
      <c r="I153" s="328">
        <f>SUM(J152:N152)</f>
        <v>638504982</v>
      </c>
      <c r="J153" s="328"/>
      <c r="K153" s="328"/>
      <c r="L153" s="328"/>
      <c r="M153" s="328"/>
      <c r="N153" s="328"/>
      <c r="O153" s="709"/>
      <c r="P153" s="328">
        <f>W152</f>
        <v>299184</v>
      </c>
      <c r="Q153" s="329"/>
      <c r="R153" s="329"/>
      <c r="S153" s="329"/>
      <c r="T153" s="328"/>
      <c r="U153" s="329"/>
      <c r="V153" s="330">
        <f>SUM(P152:U152)</f>
        <v>-413953</v>
      </c>
      <c r="W153" s="330">
        <f>P152</f>
        <v>-299184</v>
      </c>
      <c r="X153" s="331"/>
      <c r="Y153" s="331"/>
      <c r="Z153" s="330">
        <f>SUM(W152:Y152)</f>
        <v>299184</v>
      </c>
      <c r="AA153" s="330">
        <f>V152+Z152</f>
        <v>-114769</v>
      </c>
      <c r="AB153" s="332"/>
      <c r="AC153" s="332"/>
      <c r="AD153" s="330"/>
      <c r="AE153" s="330">
        <f>SUM(AA152:AD152)</f>
        <v>-157699</v>
      </c>
      <c r="AF153" s="333"/>
      <c r="AG153" s="333"/>
      <c r="AH153" s="333"/>
      <c r="AI153" s="333"/>
      <c r="AJ153" s="381"/>
      <c r="AK153" s="333"/>
      <c r="AL153" s="381">
        <f>SUM(AF152:AK152)</f>
        <v>-0.26</v>
      </c>
      <c r="AM153" s="328">
        <f>SUM(AN152:AR152)</f>
        <v>638347283</v>
      </c>
      <c r="AN153" s="328"/>
      <c r="AO153" s="58"/>
      <c r="AP153" s="330"/>
      <c r="AQ153" s="330"/>
      <c r="AR153" s="330"/>
      <c r="AS153" s="329"/>
    </row>
    <row r="154" spans="1:45" ht="13.5" customHeight="1" thickBot="1" x14ac:dyDescent="0.25">
      <c r="D154" s="8"/>
      <c r="E154" s="4"/>
      <c r="F154" s="8"/>
      <c r="G154" s="4"/>
      <c r="H154" s="4"/>
      <c r="I154" s="328">
        <f>SUM(J155:N155)</f>
        <v>638504982</v>
      </c>
      <c r="J154" s="328"/>
      <c r="K154" s="328"/>
      <c r="L154" s="328"/>
      <c r="M154" s="328"/>
      <c r="N154" s="328"/>
      <c r="O154" s="709"/>
      <c r="P154" s="328">
        <f>W155</f>
        <v>299184</v>
      </c>
      <c r="Q154" s="329"/>
      <c r="R154" s="329"/>
      <c r="S154" s="329"/>
      <c r="T154" s="328"/>
      <c r="U154" s="329"/>
      <c r="V154" s="330">
        <f>SUM(P155:U155)</f>
        <v>-413953</v>
      </c>
      <c r="W154" s="330"/>
      <c r="X154" s="331"/>
      <c r="Y154" s="331"/>
      <c r="Z154" s="330">
        <f>SUM(W155:Y155)</f>
        <v>299184</v>
      </c>
      <c r="AA154" s="330">
        <f>V155+Z155</f>
        <v>-114769</v>
      </c>
      <c r="AB154" s="332"/>
      <c r="AC154" s="332"/>
      <c r="AD154" s="330"/>
      <c r="AE154" s="330">
        <f>SUM(AA155:AD155)</f>
        <v>-157699</v>
      </c>
      <c r="AF154" s="333"/>
      <c r="AG154" s="333"/>
      <c r="AH154" s="333"/>
      <c r="AI154" s="333"/>
      <c r="AJ154" s="381"/>
      <c r="AK154" s="333"/>
      <c r="AL154" s="381">
        <f>SUM(AF155:AK155)</f>
        <v>-0.26</v>
      </c>
      <c r="AM154" s="328">
        <f>AN155+AO155+AP155+AQ155</f>
        <v>638347283</v>
      </c>
      <c r="AN154" s="328"/>
      <c r="AO154" s="58"/>
      <c r="AP154" s="48"/>
      <c r="AQ154" s="48"/>
      <c r="AR154" s="48"/>
      <c r="AS154" s="329"/>
    </row>
    <row r="155" spans="1:45" ht="12.75" customHeight="1" thickBot="1" x14ac:dyDescent="0.25">
      <c r="D155" s="8"/>
      <c r="E155" s="4"/>
      <c r="F155" s="8"/>
      <c r="G155" s="4"/>
      <c r="H155" s="338" t="s">
        <v>0</v>
      </c>
      <c r="I155" s="96">
        <f t="shared" ref="I155:AS155" si="375">SUM(I156:I165)</f>
        <v>638504982</v>
      </c>
      <c r="J155" s="31">
        <f t="shared" si="375"/>
        <v>473222931</v>
      </c>
      <c r="K155" s="31">
        <f t="shared" si="375"/>
        <v>448776</v>
      </c>
      <c r="L155" s="31">
        <f t="shared" si="375"/>
        <v>160101039</v>
      </c>
      <c r="M155" s="31">
        <f t="shared" si="375"/>
        <v>4732236</v>
      </c>
      <c r="N155" s="31">
        <f t="shared" si="375"/>
        <v>0</v>
      </c>
      <c r="O155" s="629">
        <f t="shared" si="375"/>
        <v>756.4799999999999</v>
      </c>
      <c r="P155" s="101">
        <f t="shared" si="375"/>
        <v>-299184</v>
      </c>
      <c r="Q155" s="31">
        <f t="shared" si="375"/>
        <v>-114769</v>
      </c>
      <c r="R155" s="31">
        <f t="shared" si="375"/>
        <v>0</v>
      </c>
      <c r="S155" s="31">
        <f t="shared" si="375"/>
        <v>0</v>
      </c>
      <c r="T155" s="31">
        <f t="shared" si="375"/>
        <v>0</v>
      </c>
      <c r="U155" s="31">
        <f t="shared" si="375"/>
        <v>0</v>
      </c>
      <c r="V155" s="31">
        <f t="shared" si="375"/>
        <v>-413953</v>
      </c>
      <c r="W155" s="31">
        <f t="shared" si="375"/>
        <v>299184</v>
      </c>
      <c r="X155" s="31">
        <f t="shared" si="375"/>
        <v>0</v>
      </c>
      <c r="Y155" s="31">
        <f t="shared" si="375"/>
        <v>0</v>
      </c>
      <c r="Z155" s="31">
        <f t="shared" si="375"/>
        <v>299184</v>
      </c>
      <c r="AA155" s="31">
        <f t="shared" si="375"/>
        <v>-114769</v>
      </c>
      <c r="AB155" s="31">
        <f t="shared" si="375"/>
        <v>-38791</v>
      </c>
      <c r="AC155" s="31">
        <f t="shared" si="375"/>
        <v>-4139</v>
      </c>
      <c r="AD155" s="31">
        <f t="shared" si="375"/>
        <v>0</v>
      </c>
      <c r="AE155" s="624">
        <f t="shared" si="375"/>
        <v>-157699</v>
      </c>
      <c r="AF155" s="628">
        <f t="shared" si="375"/>
        <v>-0.22</v>
      </c>
      <c r="AG155" s="32">
        <f t="shared" si="375"/>
        <v>-3.9999999999999994E-2</v>
      </c>
      <c r="AH155" s="32">
        <f t="shared" si="375"/>
        <v>0</v>
      </c>
      <c r="AI155" s="32">
        <f t="shared" si="375"/>
        <v>0</v>
      </c>
      <c r="AJ155" s="32">
        <f t="shared" si="375"/>
        <v>0</v>
      </c>
      <c r="AK155" s="32">
        <f t="shared" si="375"/>
        <v>0</v>
      </c>
      <c r="AL155" s="629">
        <f t="shared" si="375"/>
        <v>-0.26</v>
      </c>
      <c r="AM155" s="96">
        <f t="shared" si="375"/>
        <v>638347283</v>
      </c>
      <c r="AN155" s="31">
        <f t="shared" si="375"/>
        <v>472808978</v>
      </c>
      <c r="AO155" s="31">
        <f t="shared" si="375"/>
        <v>747960</v>
      </c>
      <c r="AP155" s="31">
        <f t="shared" si="375"/>
        <v>160062248</v>
      </c>
      <c r="AQ155" s="31">
        <f t="shared" si="375"/>
        <v>4728097</v>
      </c>
      <c r="AR155" s="31">
        <f t="shared" si="375"/>
        <v>0</v>
      </c>
      <c r="AS155" s="32">
        <f t="shared" si="375"/>
        <v>756.22000000000014</v>
      </c>
    </row>
    <row r="156" spans="1:45" ht="12.75" customHeight="1" x14ac:dyDescent="0.2">
      <c r="D156" s="8"/>
      <c r="E156" s="4"/>
      <c r="F156" s="8"/>
      <c r="G156" s="4"/>
      <c r="H156" s="339">
        <v>3111</v>
      </c>
      <c r="I156" s="370">
        <f t="shared" ref="I156:AS156" si="376">SUMIF($F$12:$F$428,"=3111",I$12:I$428)</f>
        <v>166202597</v>
      </c>
      <c r="J156" s="371">
        <f t="shared" si="376"/>
        <v>123249920</v>
      </c>
      <c r="K156" s="371">
        <f t="shared" si="376"/>
        <v>46116</v>
      </c>
      <c r="L156" s="371">
        <f t="shared" si="376"/>
        <v>41674059</v>
      </c>
      <c r="M156" s="371">
        <f t="shared" si="376"/>
        <v>1232502</v>
      </c>
      <c r="N156" s="371">
        <f t="shared" si="376"/>
        <v>0</v>
      </c>
      <c r="O156" s="631">
        <f t="shared" si="376"/>
        <v>216.36999999999998</v>
      </c>
      <c r="P156" s="372">
        <f t="shared" si="376"/>
        <v>-30744</v>
      </c>
      <c r="Q156" s="371">
        <f t="shared" si="376"/>
        <v>0</v>
      </c>
      <c r="R156" s="371">
        <f t="shared" si="376"/>
        <v>0</v>
      </c>
      <c r="S156" s="371">
        <f t="shared" si="376"/>
        <v>0</v>
      </c>
      <c r="T156" s="371">
        <f t="shared" si="376"/>
        <v>0</v>
      </c>
      <c r="U156" s="371">
        <f t="shared" si="376"/>
        <v>0</v>
      </c>
      <c r="V156" s="371">
        <f t="shared" si="376"/>
        <v>-30744</v>
      </c>
      <c r="W156" s="371">
        <f t="shared" si="376"/>
        <v>30744</v>
      </c>
      <c r="X156" s="371">
        <f t="shared" si="376"/>
        <v>0</v>
      </c>
      <c r="Y156" s="371">
        <f t="shared" si="376"/>
        <v>0</v>
      </c>
      <c r="Z156" s="371">
        <f t="shared" si="376"/>
        <v>30744</v>
      </c>
      <c r="AA156" s="371">
        <f t="shared" si="376"/>
        <v>0</v>
      </c>
      <c r="AB156" s="371">
        <f t="shared" si="376"/>
        <v>0</v>
      </c>
      <c r="AC156" s="371">
        <f t="shared" si="376"/>
        <v>-307</v>
      </c>
      <c r="AD156" s="371">
        <f t="shared" si="376"/>
        <v>0</v>
      </c>
      <c r="AE156" s="625">
        <f t="shared" si="376"/>
        <v>-307</v>
      </c>
      <c r="AF156" s="630">
        <f t="shared" si="376"/>
        <v>0</v>
      </c>
      <c r="AG156" s="373">
        <f t="shared" si="376"/>
        <v>0</v>
      </c>
      <c r="AH156" s="373">
        <f t="shared" si="376"/>
        <v>0</v>
      </c>
      <c r="AI156" s="373">
        <f t="shared" si="376"/>
        <v>0</v>
      </c>
      <c r="AJ156" s="373">
        <f t="shared" si="376"/>
        <v>0</v>
      </c>
      <c r="AK156" s="373">
        <f t="shared" si="376"/>
        <v>0</v>
      </c>
      <c r="AL156" s="631">
        <f t="shared" si="376"/>
        <v>0</v>
      </c>
      <c r="AM156" s="370">
        <f t="shared" si="376"/>
        <v>166202290</v>
      </c>
      <c r="AN156" s="371">
        <f t="shared" si="376"/>
        <v>123219176</v>
      </c>
      <c r="AO156" s="371">
        <f t="shared" si="376"/>
        <v>76860</v>
      </c>
      <c r="AP156" s="371">
        <f t="shared" si="376"/>
        <v>41674059</v>
      </c>
      <c r="AQ156" s="371">
        <f t="shared" si="376"/>
        <v>1232195</v>
      </c>
      <c r="AR156" s="371">
        <f t="shared" si="376"/>
        <v>0</v>
      </c>
      <c r="AS156" s="373">
        <f t="shared" si="376"/>
        <v>216.36999999999998</v>
      </c>
    </row>
    <row r="157" spans="1:45" ht="12.75" customHeight="1" x14ac:dyDescent="0.2">
      <c r="D157" s="8"/>
      <c r="E157" s="4"/>
      <c r="F157" s="8"/>
      <c r="G157" s="4"/>
      <c r="H157" s="2">
        <v>3113</v>
      </c>
      <c r="I157" s="370">
        <f t="shared" ref="I157:AS157" si="377">SUMIF($F$12:$F$428,"=3113",I$12:I$428)</f>
        <v>385190223</v>
      </c>
      <c r="J157" s="14">
        <f t="shared" si="377"/>
        <v>285565453</v>
      </c>
      <c r="K157" s="14">
        <f t="shared" si="377"/>
        <v>185340</v>
      </c>
      <c r="L157" s="14">
        <f t="shared" si="377"/>
        <v>96583772</v>
      </c>
      <c r="M157" s="14">
        <f t="shared" si="377"/>
        <v>2855658</v>
      </c>
      <c r="N157" s="14">
        <f t="shared" si="377"/>
        <v>0</v>
      </c>
      <c r="O157" s="633">
        <f t="shared" si="377"/>
        <v>430.61999999999995</v>
      </c>
      <c r="P157" s="120">
        <f t="shared" si="377"/>
        <v>-123560</v>
      </c>
      <c r="Q157" s="14">
        <f t="shared" si="377"/>
        <v>-147836</v>
      </c>
      <c r="R157" s="14">
        <f t="shared" si="377"/>
        <v>0</v>
      </c>
      <c r="S157" s="14">
        <f t="shared" si="377"/>
        <v>0</v>
      </c>
      <c r="T157" s="14">
        <f t="shared" si="377"/>
        <v>0</v>
      </c>
      <c r="U157" s="14">
        <f t="shared" si="377"/>
        <v>0</v>
      </c>
      <c r="V157" s="14">
        <f t="shared" si="377"/>
        <v>-271396</v>
      </c>
      <c r="W157" s="14">
        <f t="shared" si="377"/>
        <v>123560</v>
      </c>
      <c r="X157" s="14">
        <f t="shared" si="377"/>
        <v>0</v>
      </c>
      <c r="Y157" s="14">
        <f t="shared" si="377"/>
        <v>0</v>
      </c>
      <c r="Z157" s="14">
        <f t="shared" si="377"/>
        <v>123560</v>
      </c>
      <c r="AA157" s="14">
        <f t="shared" si="377"/>
        <v>-147836</v>
      </c>
      <c r="AB157" s="14">
        <f t="shared" si="377"/>
        <v>-49968</v>
      </c>
      <c r="AC157" s="14">
        <f t="shared" si="377"/>
        <v>-2714</v>
      </c>
      <c r="AD157" s="14">
        <f t="shared" si="377"/>
        <v>0</v>
      </c>
      <c r="AE157" s="626">
        <f t="shared" si="377"/>
        <v>-200518</v>
      </c>
      <c r="AF157" s="632">
        <f t="shared" si="377"/>
        <v>-0.16</v>
      </c>
      <c r="AG157" s="11">
        <f t="shared" si="377"/>
        <v>-0.12</v>
      </c>
      <c r="AH157" s="11">
        <f t="shared" si="377"/>
        <v>0</v>
      </c>
      <c r="AI157" s="11">
        <f t="shared" si="377"/>
        <v>0</v>
      </c>
      <c r="AJ157" s="11">
        <f t="shared" si="377"/>
        <v>0</v>
      </c>
      <c r="AK157" s="11">
        <f t="shared" si="377"/>
        <v>0</v>
      </c>
      <c r="AL157" s="633">
        <f t="shared" si="377"/>
        <v>-0.28000000000000003</v>
      </c>
      <c r="AM157" s="119">
        <f t="shared" si="377"/>
        <v>384989705</v>
      </c>
      <c r="AN157" s="14">
        <f t="shared" si="377"/>
        <v>285294057</v>
      </c>
      <c r="AO157" s="14">
        <f t="shared" si="377"/>
        <v>308900</v>
      </c>
      <c r="AP157" s="14">
        <f t="shared" si="377"/>
        <v>96533804</v>
      </c>
      <c r="AQ157" s="14">
        <f t="shared" si="377"/>
        <v>2852944</v>
      </c>
      <c r="AR157" s="14">
        <f t="shared" si="377"/>
        <v>0</v>
      </c>
      <c r="AS157" s="11">
        <f t="shared" si="377"/>
        <v>430.34000000000003</v>
      </c>
    </row>
    <row r="158" spans="1:45" ht="12.75" customHeight="1" x14ac:dyDescent="0.2">
      <c r="D158" s="8"/>
      <c r="E158" s="4"/>
      <c r="F158" s="8"/>
      <c r="G158" s="4"/>
      <c r="H158" s="2">
        <v>3114</v>
      </c>
      <c r="I158" s="370">
        <f t="shared" ref="I158:AS158" si="378">SUMIF($F$12:$F$428,"=3114",I$12:I$428)</f>
        <v>0</v>
      </c>
      <c r="J158" s="14">
        <f t="shared" si="378"/>
        <v>0</v>
      </c>
      <c r="K158" s="14">
        <f t="shared" si="378"/>
        <v>0</v>
      </c>
      <c r="L158" s="14">
        <f t="shared" si="378"/>
        <v>0</v>
      </c>
      <c r="M158" s="14">
        <f t="shared" si="378"/>
        <v>0</v>
      </c>
      <c r="N158" s="14">
        <f t="shared" si="378"/>
        <v>0</v>
      </c>
      <c r="O158" s="633">
        <f t="shared" si="378"/>
        <v>0</v>
      </c>
      <c r="P158" s="120">
        <f t="shared" si="378"/>
        <v>0</v>
      </c>
      <c r="Q158" s="14">
        <f t="shared" si="378"/>
        <v>0</v>
      </c>
      <c r="R158" s="14">
        <f t="shared" si="378"/>
        <v>0</v>
      </c>
      <c r="S158" s="14">
        <f t="shared" si="378"/>
        <v>0</v>
      </c>
      <c r="T158" s="14">
        <f t="shared" si="378"/>
        <v>0</v>
      </c>
      <c r="U158" s="14">
        <f t="shared" si="378"/>
        <v>0</v>
      </c>
      <c r="V158" s="14">
        <f t="shared" si="378"/>
        <v>0</v>
      </c>
      <c r="W158" s="14">
        <f t="shared" si="378"/>
        <v>0</v>
      </c>
      <c r="X158" s="14">
        <f t="shared" si="378"/>
        <v>0</v>
      </c>
      <c r="Y158" s="14">
        <f t="shared" si="378"/>
        <v>0</v>
      </c>
      <c r="Z158" s="14">
        <f t="shared" si="378"/>
        <v>0</v>
      </c>
      <c r="AA158" s="14">
        <f t="shared" si="378"/>
        <v>0</v>
      </c>
      <c r="AB158" s="14">
        <f t="shared" si="378"/>
        <v>0</v>
      </c>
      <c r="AC158" s="14">
        <f t="shared" si="378"/>
        <v>0</v>
      </c>
      <c r="AD158" s="14">
        <f t="shared" si="378"/>
        <v>0</v>
      </c>
      <c r="AE158" s="626">
        <f t="shared" si="378"/>
        <v>0</v>
      </c>
      <c r="AF158" s="632">
        <f t="shared" si="378"/>
        <v>0</v>
      </c>
      <c r="AG158" s="11">
        <f t="shared" si="378"/>
        <v>0</v>
      </c>
      <c r="AH158" s="11">
        <f t="shared" si="378"/>
        <v>0</v>
      </c>
      <c r="AI158" s="11">
        <f t="shared" si="378"/>
        <v>0</v>
      </c>
      <c r="AJ158" s="11">
        <f t="shared" si="378"/>
        <v>0</v>
      </c>
      <c r="AK158" s="11">
        <f t="shared" si="378"/>
        <v>0</v>
      </c>
      <c r="AL158" s="633">
        <f t="shared" si="378"/>
        <v>0</v>
      </c>
      <c r="AM158" s="119">
        <f t="shared" si="378"/>
        <v>0</v>
      </c>
      <c r="AN158" s="14">
        <f t="shared" si="378"/>
        <v>0</v>
      </c>
      <c r="AO158" s="14">
        <f t="shared" si="378"/>
        <v>0</v>
      </c>
      <c r="AP158" s="14">
        <f t="shared" si="378"/>
        <v>0</v>
      </c>
      <c r="AQ158" s="14">
        <f t="shared" si="378"/>
        <v>0</v>
      </c>
      <c r="AR158" s="14">
        <f t="shared" si="378"/>
        <v>0</v>
      </c>
      <c r="AS158" s="11">
        <f t="shared" si="378"/>
        <v>0</v>
      </c>
    </row>
    <row r="159" spans="1:45" ht="12.75" customHeight="1" x14ac:dyDescent="0.2">
      <c r="D159" s="8"/>
      <c r="E159" s="4"/>
      <c r="F159" s="8"/>
      <c r="G159" s="4"/>
      <c r="H159" s="2">
        <v>3117</v>
      </c>
      <c r="I159" s="370">
        <f t="shared" ref="I159:AS159" si="379">SUMIF($F$12:$F$428,"=3117",I$12:I$428)</f>
        <v>10610920</v>
      </c>
      <c r="J159" s="14">
        <f t="shared" si="379"/>
        <v>7864933</v>
      </c>
      <c r="K159" s="14">
        <f t="shared" si="379"/>
        <v>6720</v>
      </c>
      <c r="L159" s="14">
        <f t="shared" si="379"/>
        <v>2660618</v>
      </c>
      <c r="M159" s="14">
        <f t="shared" si="379"/>
        <v>78649</v>
      </c>
      <c r="N159" s="14">
        <f t="shared" si="379"/>
        <v>0</v>
      </c>
      <c r="O159" s="633">
        <f t="shared" si="379"/>
        <v>13.5</v>
      </c>
      <c r="P159" s="120">
        <f t="shared" si="379"/>
        <v>-4480</v>
      </c>
      <c r="Q159" s="14">
        <f t="shared" si="379"/>
        <v>33067</v>
      </c>
      <c r="R159" s="14">
        <f t="shared" si="379"/>
        <v>0</v>
      </c>
      <c r="S159" s="14">
        <f t="shared" si="379"/>
        <v>0</v>
      </c>
      <c r="T159" s="14">
        <f t="shared" si="379"/>
        <v>0</v>
      </c>
      <c r="U159" s="14">
        <f t="shared" si="379"/>
        <v>0</v>
      </c>
      <c r="V159" s="14">
        <f t="shared" si="379"/>
        <v>28587</v>
      </c>
      <c r="W159" s="14">
        <f t="shared" si="379"/>
        <v>4480</v>
      </c>
      <c r="X159" s="14">
        <f t="shared" si="379"/>
        <v>0</v>
      </c>
      <c r="Y159" s="14">
        <f t="shared" si="379"/>
        <v>0</v>
      </c>
      <c r="Z159" s="14">
        <f t="shared" si="379"/>
        <v>4480</v>
      </c>
      <c r="AA159" s="14">
        <f t="shared" si="379"/>
        <v>33067</v>
      </c>
      <c r="AB159" s="14">
        <f t="shared" si="379"/>
        <v>11177</v>
      </c>
      <c r="AC159" s="14">
        <f t="shared" si="379"/>
        <v>286</v>
      </c>
      <c r="AD159" s="14">
        <f t="shared" si="379"/>
        <v>0</v>
      </c>
      <c r="AE159" s="626">
        <f t="shared" si="379"/>
        <v>44530</v>
      </c>
      <c r="AF159" s="632">
        <f t="shared" si="379"/>
        <v>0</v>
      </c>
      <c r="AG159" s="11">
        <f t="shared" si="379"/>
        <v>0.08</v>
      </c>
      <c r="AH159" s="11">
        <f t="shared" si="379"/>
        <v>0</v>
      </c>
      <c r="AI159" s="11">
        <f t="shared" si="379"/>
        <v>0</v>
      </c>
      <c r="AJ159" s="11">
        <f t="shared" si="379"/>
        <v>0</v>
      </c>
      <c r="AK159" s="11">
        <f t="shared" si="379"/>
        <v>0</v>
      </c>
      <c r="AL159" s="633">
        <f t="shared" si="379"/>
        <v>0.08</v>
      </c>
      <c r="AM159" s="119">
        <f t="shared" si="379"/>
        <v>10655450</v>
      </c>
      <c r="AN159" s="14">
        <f t="shared" si="379"/>
        <v>7893520</v>
      </c>
      <c r="AO159" s="14">
        <f t="shared" si="379"/>
        <v>11200</v>
      </c>
      <c r="AP159" s="14">
        <f t="shared" si="379"/>
        <v>2671795</v>
      </c>
      <c r="AQ159" s="14">
        <f t="shared" si="379"/>
        <v>78935</v>
      </c>
      <c r="AR159" s="14">
        <f t="shared" si="379"/>
        <v>0</v>
      </c>
      <c r="AS159" s="11">
        <f t="shared" si="379"/>
        <v>13.58</v>
      </c>
    </row>
    <row r="160" spans="1:45" ht="12.75" customHeight="1" x14ac:dyDescent="0.2">
      <c r="D160" s="8"/>
      <c r="E160" s="4"/>
      <c r="F160" s="8"/>
      <c r="G160" s="4"/>
      <c r="H160" s="2">
        <v>3122</v>
      </c>
      <c r="I160" s="370">
        <f t="shared" ref="I160:AS160" si="380">SUMIF($F$12:$F$428,"=3122",I$12:I$428)</f>
        <v>0</v>
      </c>
      <c r="J160" s="14">
        <f t="shared" si="380"/>
        <v>0</v>
      </c>
      <c r="K160" s="14">
        <f t="shared" si="380"/>
        <v>0</v>
      </c>
      <c r="L160" s="14">
        <f t="shared" si="380"/>
        <v>0</v>
      </c>
      <c r="M160" s="14">
        <f t="shared" si="380"/>
        <v>0</v>
      </c>
      <c r="N160" s="14">
        <f t="shared" si="380"/>
        <v>0</v>
      </c>
      <c r="O160" s="633">
        <f t="shared" si="380"/>
        <v>0</v>
      </c>
      <c r="P160" s="120">
        <f t="shared" si="380"/>
        <v>0</v>
      </c>
      <c r="Q160" s="14">
        <f t="shared" si="380"/>
        <v>0</v>
      </c>
      <c r="R160" s="14">
        <f t="shared" si="380"/>
        <v>0</v>
      </c>
      <c r="S160" s="14">
        <f t="shared" si="380"/>
        <v>0</v>
      </c>
      <c r="T160" s="14">
        <f t="shared" si="380"/>
        <v>0</v>
      </c>
      <c r="U160" s="14">
        <f t="shared" si="380"/>
        <v>0</v>
      </c>
      <c r="V160" s="14">
        <f t="shared" si="380"/>
        <v>0</v>
      </c>
      <c r="W160" s="14">
        <f t="shared" si="380"/>
        <v>0</v>
      </c>
      <c r="X160" s="14">
        <f t="shared" si="380"/>
        <v>0</v>
      </c>
      <c r="Y160" s="14">
        <f t="shared" si="380"/>
        <v>0</v>
      </c>
      <c r="Z160" s="14">
        <f t="shared" si="380"/>
        <v>0</v>
      </c>
      <c r="AA160" s="14">
        <f t="shared" si="380"/>
        <v>0</v>
      </c>
      <c r="AB160" s="14">
        <f t="shared" si="380"/>
        <v>0</v>
      </c>
      <c r="AC160" s="14">
        <f t="shared" si="380"/>
        <v>0</v>
      </c>
      <c r="AD160" s="14">
        <f t="shared" si="380"/>
        <v>0</v>
      </c>
      <c r="AE160" s="626">
        <f t="shared" si="380"/>
        <v>0</v>
      </c>
      <c r="AF160" s="632">
        <f t="shared" si="380"/>
        <v>0</v>
      </c>
      <c r="AG160" s="11">
        <f t="shared" si="380"/>
        <v>0</v>
      </c>
      <c r="AH160" s="11">
        <f t="shared" si="380"/>
        <v>0</v>
      </c>
      <c r="AI160" s="11">
        <f t="shared" si="380"/>
        <v>0</v>
      </c>
      <c r="AJ160" s="11">
        <f t="shared" si="380"/>
        <v>0</v>
      </c>
      <c r="AK160" s="11">
        <f t="shared" si="380"/>
        <v>0</v>
      </c>
      <c r="AL160" s="633">
        <f t="shared" si="380"/>
        <v>0</v>
      </c>
      <c r="AM160" s="119">
        <f t="shared" si="380"/>
        <v>0</v>
      </c>
      <c r="AN160" s="14">
        <f t="shared" si="380"/>
        <v>0</v>
      </c>
      <c r="AO160" s="14">
        <f t="shared" si="380"/>
        <v>0</v>
      </c>
      <c r="AP160" s="14">
        <f t="shared" si="380"/>
        <v>0</v>
      </c>
      <c r="AQ160" s="14">
        <f t="shared" si="380"/>
        <v>0</v>
      </c>
      <c r="AR160" s="14">
        <f t="shared" si="380"/>
        <v>0</v>
      </c>
      <c r="AS160" s="11">
        <f t="shared" si="380"/>
        <v>0</v>
      </c>
    </row>
    <row r="161" spans="4:45" ht="12.75" customHeight="1" x14ac:dyDescent="0.2">
      <c r="D161" s="8"/>
      <c r="E161" s="4"/>
      <c r="F161" s="8"/>
      <c r="G161" s="4"/>
      <c r="H161" s="2">
        <v>3124</v>
      </c>
      <c r="I161" s="370">
        <f t="shared" ref="I161:AS161" si="381">SUMIF($F$12:$F$428,"=3124",I$12:I$428)</f>
        <v>0</v>
      </c>
      <c r="J161" s="14">
        <f t="shared" si="381"/>
        <v>0</v>
      </c>
      <c r="K161" s="14">
        <f t="shared" si="381"/>
        <v>0</v>
      </c>
      <c r="L161" s="14">
        <f t="shared" si="381"/>
        <v>0</v>
      </c>
      <c r="M161" s="14">
        <f t="shared" si="381"/>
        <v>0</v>
      </c>
      <c r="N161" s="14">
        <f t="shared" si="381"/>
        <v>0</v>
      </c>
      <c r="O161" s="633">
        <f t="shared" si="381"/>
        <v>0</v>
      </c>
      <c r="P161" s="120">
        <f t="shared" si="381"/>
        <v>0</v>
      </c>
      <c r="Q161" s="14">
        <f t="shared" si="381"/>
        <v>0</v>
      </c>
      <c r="R161" s="14">
        <f t="shared" si="381"/>
        <v>0</v>
      </c>
      <c r="S161" s="14">
        <f t="shared" si="381"/>
        <v>0</v>
      </c>
      <c r="T161" s="14">
        <f t="shared" si="381"/>
        <v>0</v>
      </c>
      <c r="U161" s="14">
        <f t="shared" si="381"/>
        <v>0</v>
      </c>
      <c r="V161" s="14">
        <f t="shared" si="381"/>
        <v>0</v>
      </c>
      <c r="W161" s="14">
        <f t="shared" si="381"/>
        <v>0</v>
      </c>
      <c r="X161" s="14">
        <f t="shared" si="381"/>
        <v>0</v>
      </c>
      <c r="Y161" s="14">
        <f t="shared" si="381"/>
        <v>0</v>
      </c>
      <c r="Z161" s="14">
        <f t="shared" si="381"/>
        <v>0</v>
      </c>
      <c r="AA161" s="14">
        <f t="shared" si="381"/>
        <v>0</v>
      </c>
      <c r="AB161" s="14">
        <f t="shared" si="381"/>
        <v>0</v>
      </c>
      <c r="AC161" s="14">
        <f t="shared" si="381"/>
        <v>0</v>
      </c>
      <c r="AD161" s="14">
        <f t="shared" si="381"/>
        <v>0</v>
      </c>
      <c r="AE161" s="626">
        <f t="shared" si="381"/>
        <v>0</v>
      </c>
      <c r="AF161" s="632">
        <f t="shared" si="381"/>
        <v>0</v>
      </c>
      <c r="AG161" s="11">
        <f t="shared" si="381"/>
        <v>0</v>
      </c>
      <c r="AH161" s="11">
        <f t="shared" si="381"/>
        <v>0</v>
      </c>
      <c r="AI161" s="11">
        <f t="shared" si="381"/>
        <v>0</v>
      </c>
      <c r="AJ161" s="11">
        <f t="shared" si="381"/>
        <v>0</v>
      </c>
      <c r="AK161" s="11">
        <f t="shared" si="381"/>
        <v>0</v>
      </c>
      <c r="AL161" s="633">
        <f t="shared" si="381"/>
        <v>0</v>
      </c>
      <c r="AM161" s="119">
        <f t="shared" si="381"/>
        <v>0</v>
      </c>
      <c r="AN161" s="14">
        <f t="shared" si="381"/>
        <v>0</v>
      </c>
      <c r="AO161" s="14">
        <f t="shared" si="381"/>
        <v>0</v>
      </c>
      <c r="AP161" s="14">
        <f t="shared" si="381"/>
        <v>0</v>
      </c>
      <c r="AQ161" s="14">
        <f t="shared" si="381"/>
        <v>0</v>
      </c>
      <c r="AR161" s="14">
        <f t="shared" si="381"/>
        <v>0</v>
      </c>
      <c r="AS161" s="11">
        <f t="shared" si="381"/>
        <v>0</v>
      </c>
    </row>
    <row r="162" spans="4:45" x14ac:dyDescent="0.2">
      <c r="D162" s="8"/>
      <c r="E162" s="4"/>
      <c r="F162" s="8"/>
      <c r="G162" s="4"/>
      <c r="H162" s="2">
        <v>3141</v>
      </c>
      <c r="I162" s="370">
        <f t="shared" ref="I162:AS162" si="382">SUMIF($F$12:$F$428,"=3141",I$12:I$428)</f>
        <v>0</v>
      </c>
      <c r="J162" s="14">
        <f t="shared" si="382"/>
        <v>0</v>
      </c>
      <c r="K162" s="14">
        <f t="shared" si="382"/>
        <v>0</v>
      </c>
      <c r="L162" s="14">
        <f t="shared" si="382"/>
        <v>0</v>
      </c>
      <c r="M162" s="14">
        <f t="shared" si="382"/>
        <v>0</v>
      </c>
      <c r="N162" s="14">
        <f t="shared" si="382"/>
        <v>0</v>
      </c>
      <c r="O162" s="633">
        <f t="shared" si="382"/>
        <v>0</v>
      </c>
      <c r="P162" s="120">
        <f t="shared" si="382"/>
        <v>0</v>
      </c>
      <c r="Q162" s="14">
        <f t="shared" si="382"/>
        <v>0</v>
      </c>
      <c r="R162" s="14">
        <f t="shared" si="382"/>
        <v>0</v>
      </c>
      <c r="S162" s="14">
        <f t="shared" si="382"/>
        <v>0</v>
      </c>
      <c r="T162" s="14">
        <f t="shared" si="382"/>
        <v>0</v>
      </c>
      <c r="U162" s="14">
        <f t="shared" si="382"/>
        <v>0</v>
      </c>
      <c r="V162" s="14">
        <f t="shared" si="382"/>
        <v>0</v>
      </c>
      <c r="W162" s="14">
        <f t="shared" si="382"/>
        <v>0</v>
      </c>
      <c r="X162" s="14">
        <f t="shared" si="382"/>
        <v>0</v>
      </c>
      <c r="Y162" s="14">
        <f t="shared" si="382"/>
        <v>0</v>
      </c>
      <c r="Z162" s="14">
        <f t="shared" si="382"/>
        <v>0</v>
      </c>
      <c r="AA162" s="14">
        <f t="shared" si="382"/>
        <v>0</v>
      </c>
      <c r="AB162" s="14">
        <f t="shared" si="382"/>
        <v>0</v>
      </c>
      <c r="AC162" s="14">
        <f t="shared" si="382"/>
        <v>0</v>
      </c>
      <c r="AD162" s="14">
        <f t="shared" si="382"/>
        <v>0</v>
      </c>
      <c r="AE162" s="626">
        <f t="shared" si="382"/>
        <v>0</v>
      </c>
      <c r="AF162" s="632">
        <f t="shared" si="382"/>
        <v>0</v>
      </c>
      <c r="AG162" s="11">
        <f t="shared" si="382"/>
        <v>0</v>
      </c>
      <c r="AH162" s="11">
        <f t="shared" si="382"/>
        <v>0</v>
      </c>
      <c r="AI162" s="11">
        <f t="shared" si="382"/>
        <v>0</v>
      </c>
      <c r="AJ162" s="11">
        <f t="shared" si="382"/>
        <v>0</v>
      </c>
      <c r="AK162" s="11">
        <f t="shared" si="382"/>
        <v>0</v>
      </c>
      <c r="AL162" s="633">
        <f t="shared" si="382"/>
        <v>0</v>
      </c>
      <c r="AM162" s="119">
        <f t="shared" si="382"/>
        <v>0</v>
      </c>
      <c r="AN162" s="14">
        <f t="shared" si="382"/>
        <v>0</v>
      </c>
      <c r="AO162" s="14">
        <f t="shared" si="382"/>
        <v>0</v>
      </c>
      <c r="AP162" s="14">
        <f t="shared" si="382"/>
        <v>0</v>
      </c>
      <c r="AQ162" s="14">
        <f t="shared" si="382"/>
        <v>0</v>
      </c>
      <c r="AR162" s="14">
        <f t="shared" si="382"/>
        <v>0</v>
      </c>
      <c r="AS162" s="11">
        <f t="shared" si="382"/>
        <v>0</v>
      </c>
    </row>
    <row r="163" spans="4:45" ht="12.75" customHeight="1" x14ac:dyDescent="0.2">
      <c r="D163" s="8"/>
      <c r="E163" s="4"/>
      <c r="F163" s="8"/>
      <c r="G163" s="4"/>
      <c r="H163" s="2">
        <v>3143</v>
      </c>
      <c r="I163" s="370">
        <f t="shared" ref="I163:AS163" si="383">SUMIF($F$12:$F$428,"=3143",I$12:I$428)</f>
        <v>38595124</v>
      </c>
      <c r="J163" s="14">
        <f t="shared" si="383"/>
        <v>28541470</v>
      </c>
      <c r="K163" s="14">
        <f t="shared" si="383"/>
        <v>90600</v>
      </c>
      <c r="L163" s="14">
        <f t="shared" si="383"/>
        <v>9677639</v>
      </c>
      <c r="M163" s="14">
        <f t="shared" si="383"/>
        <v>285415</v>
      </c>
      <c r="N163" s="14">
        <f t="shared" si="383"/>
        <v>0</v>
      </c>
      <c r="O163" s="633">
        <f t="shared" si="383"/>
        <v>53.249999999999993</v>
      </c>
      <c r="P163" s="120">
        <f t="shared" si="383"/>
        <v>-60400</v>
      </c>
      <c r="Q163" s="14">
        <f t="shared" si="383"/>
        <v>0</v>
      </c>
      <c r="R163" s="14">
        <f t="shared" si="383"/>
        <v>0</v>
      </c>
      <c r="S163" s="14">
        <f t="shared" si="383"/>
        <v>0</v>
      </c>
      <c r="T163" s="14">
        <f t="shared" si="383"/>
        <v>0</v>
      </c>
      <c r="U163" s="14">
        <f t="shared" si="383"/>
        <v>0</v>
      </c>
      <c r="V163" s="14">
        <f t="shared" si="383"/>
        <v>-60400</v>
      </c>
      <c r="W163" s="14">
        <f t="shared" si="383"/>
        <v>60400</v>
      </c>
      <c r="X163" s="14">
        <f t="shared" si="383"/>
        <v>0</v>
      </c>
      <c r="Y163" s="14">
        <f t="shared" si="383"/>
        <v>0</v>
      </c>
      <c r="Z163" s="14">
        <f t="shared" si="383"/>
        <v>60400</v>
      </c>
      <c r="AA163" s="14">
        <f t="shared" si="383"/>
        <v>0</v>
      </c>
      <c r="AB163" s="14">
        <f t="shared" si="383"/>
        <v>0</v>
      </c>
      <c r="AC163" s="14">
        <f t="shared" si="383"/>
        <v>-604</v>
      </c>
      <c r="AD163" s="14">
        <f t="shared" si="383"/>
        <v>0</v>
      </c>
      <c r="AE163" s="626">
        <f t="shared" si="383"/>
        <v>-604</v>
      </c>
      <c r="AF163" s="632">
        <f t="shared" si="383"/>
        <v>0</v>
      </c>
      <c r="AG163" s="11">
        <f t="shared" si="383"/>
        <v>0</v>
      </c>
      <c r="AH163" s="11">
        <f t="shared" si="383"/>
        <v>0</v>
      </c>
      <c r="AI163" s="11">
        <f t="shared" si="383"/>
        <v>0</v>
      </c>
      <c r="AJ163" s="11">
        <f t="shared" si="383"/>
        <v>0</v>
      </c>
      <c r="AK163" s="11">
        <f t="shared" si="383"/>
        <v>0</v>
      </c>
      <c r="AL163" s="633">
        <f t="shared" si="383"/>
        <v>0</v>
      </c>
      <c r="AM163" s="119">
        <f t="shared" si="383"/>
        <v>38594520</v>
      </c>
      <c r="AN163" s="14">
        <f t="shared" si="383"/>
        <v>28481070</v>
      </c>
      <c r="AO163" s="14">
        <f t="shared" si="383"/>
        <v>151000</v>
      </c>
      <c r="AP163" s="14">
        <f t="shared" si="383"/>
        <v>9677639</v>
      </c>
      <c r="AQ163" s="14">
        <f t="shared" si="383"/>
        <v>284811</v>
      </c>
      <c r="AR163" s="14">
        <f t="shared" si="383"/>
        <v>0</v>
      </c>
      <c r="AS163" s="11">
        <f t="shared" si="383"/>
        <v>53.249999999999993</v>
      </c>
    </row>
    <row r="164" spans="4:45" ht="12.75" customHeight="1" x14ac:dyDescent="0.2">
      <c r="D164" s="8"/>
      <c r="E164" s="4"/>
      <c r="F164" s="8"/>
      <c r="G164" s="4"/>
      <c r="H164" s="2">
        <v>3231</v>
      </c>
      <c r="I164" s="370">
        <f t="shared" ref="I164:AS164" si="384">SUMIF($F$12:$F$428,"=3231",I$12:I$428)</f>
        <v>33751060</v>
      </c>
      <c r="J164" s="14">
        <f t="shared" si="384"/>
        <v>24918768</v>
      </c>
      <c r="K164" s="14">
        <f t="shared" si="384"/>
        <v>120000</v>
      </c>
      <c r="L164" s="14">
        <f t="shared" si="384"/>
        <v>8463104</v>
      </c>
      <c r="M164" s="14">
        <f t="shared" si="384"/>
        <v>249188</v>
      </c>
      <c r="N164" s="14">
        <f t="shared" si="384"/>
        <v>0</v>
      </c>
      <c r="O164" s="633">
        <f t="shared" si="384"/>
        <v>37.519999999999996</v>
      </c>
      <c r="P164" s="120">
        <f t="shared" si="384"/>
        <v>-80000</v>
      </c>
      <c r="Q164" s="14">
        <f t="shared" si="384"/>
        <v>0</v>
      </c>
      <c r="R164" s="14">
        <f t="shared" si="384"/>
        <v>0</v>
      </c>
      <c r="S164" s="14">
        <f t="shared" si="384"/>
        <v>0</v>
      </c>
      <c r="T164" s="14">
        <f t="shared" si="384"/>
        <v>0</v>
      </c>
      <c r="U164" s="14">
        <f t="shared" si="384"/>
        <v>0</v>
      </c>
      <c r="V164" s="14">
        <f t="shared" si="384"/>
        <v>-80000</v>
      </c>
      <c r="W164" s="14">
        <f t="shared" si="384"/>
        <v>80000</v>
      </c>
      <c r="X164" s="14">
        <f t="shared" si="384"/>
        <v>0</v>
      </c>
      <c r="Y164" s="14">
        <f t="shared" si="384"/>
        <v>0</v>
      </c>
      <c r="Z164" s="14">
        <f t="shared" si="384"/>
        <v>80000</v>
      </c>
      <c r="AA164" s="14">
        <f t="shared" si="384"/>
        <v>0</v>
      </c>
      <c r="AB164" s="14">
        <f t="shared" si="384"/>
        <v>0</v>
      </c>
      <c r="AC164" s="14">
        <f t="shared" si="384"/>
        <v>-800</v>
      </c>
      <c r="AD164" s="14">
        <f t="shared" si="384"/>
        <v>0</v>
      </c>
      <c r="AE164" s="626">
        <f t="shared" si="384"/>
        <v>-800</v>
      </c>
      <c r="AF164" s="632">
        <f t="shared" si="384"/>
        <v>-0.06</v>
      </c>
      <c r="AG164" s="11">
        <f t="shared" si="384"/>
        <v>0</v>
      </c>
      <c r="AH164" s="11">
        <f t="shared" si="384"/>
        <v>0</v>
      </c>
      <c r="AI164" s="11">
        <f t="shared" si="384"/>
        <v>0</v>
      </c>
      <c r="AJ164" s="11">
        <f t="shared" si="384"/>
        <v>0</v>
      </c>
      <c r="AK164" s="11">
        <f t="shared" si="384"/>
        <v>0</v>
      </c>
      <c r="AL164" s="633">
        <f t="shared" si="384"/>
        <v>-0.06</v>
      </c>
      <c r="AM164" s="119">
        <f t="shared" si="384"/>
        <v>33750260</v>
      </c>
      <c r="AN164" s="14">
        <f t="shared" si="384"/>
        <v>24838768</v>
      </c>
      <c r="AO164" s="14">
        <f t="shared" si="384"/>
        <v>200000</v>
      </c>
      <c r="AP164" s="14">
        <f t="shared" si="384"/>
        <v>8463104</v>
      </c>
      <c r="AQ164" s="14">
        <f t="shared" si="384"/>
        <v>248388</v>
      </c>
      <c r="AR164" s="14">
        <f t="shared" si="384"/>
        <v>0</v>
      </c>
      <c r="AS164" s="11">
        <f t="shared" si="384"/>
        <v>37.459999999999994</v>
      </c>
    </row>
    <row r="165" spans="4:45" ht="13.5" thickBot="1" x14ac:dyDescent="0.25">
      <c r="D165" s="8"/>
      <c r="E165" s="4"/>
      <c r="F165" s="8"/>
      <c r="G165" s="4"/>
      <c r="H165" s="103">
        <v>3233</v>
      </c>
      <c r="I165" s="826">
        <f t="shared" ref="I165:AS165" si="385">SUMIF($F$12:$F$428,"=3233",I$12:I$428)</f>
        <v>4155058</v>
      </c>
      <c r="J165" s="123">
        <f t="shared" si="385"/>
        <v>3082387</v>
      </c>
      <c r="K165" s="123">
        <f t="shared" si="385"/>
        <v>0</v>
      </c>
      <c r="L165" s="123">
        <f t="shared" si="385"/>
        <v>1041847</v>
      </c>
      <c r="M165" s="123">
        <f t="shared" si="385"/>
        <v>30824</v>
      </c>
      <c r="N165" s="123">
        <f t="shared" si="385"/>
        <v>0</v>
      </c>
      <c r="O165" s="635">
        <f t="shared" si="385"/>
        <v>5.22</v>
      </c>
      <c r="P165" s="125">
        <f t="shared" si="385"/>
        <v>0</v>
      </c>
      <c r="Q165" s="123">
        <f t="shared" si="385"/>
        <v>0</v>
      </c>
      <c r="R165" s="123">
        <f t="shared" si="385"/>
        <v>0</v>
      </c>
      <c r="S165" s="123">
        <f t="shared" si="385"/>
        <v>0</v>
      </c>
      <c r="T165" s="123">
        <f t="shared" si="385"/>
        <v>0</v>
      </c>
      <c r="U165" s="123">
        <f t="shared" si="385"/>
        <v>0</v>
      </c>
      <c r="V165" s="123">
        <f t="shared" si="385"/>
        <v>0</v>
      </c>
      <c r="W165" s="123">
        <f t="shared" si="385"/>
        <v>0</v>
      </c>
      <c r="X165" s="123">
        <f t="shared" si="385"/>
        <v>0</v>
      </c>
      <c r="Y165" s="123">
        <f t="shared" si="385"/>
        <v>0</v>
      </c>
      <c r="Z165" s="123">
        <f t="shared" si="385"/>
        <v>0</v>
      </c>
      <c r="AA165" s="123">
        <f t="shared" si="385"/>
        <v>0</v>
      </c>
      <c r="AB165" s="123">
        <f t="shared" si="385"/>
        <v>0</v>
      </c>
      <c r="AC165" s="123">
        <f t="shared" si="385"/>
        <v>0</v>
      </c>
      <c r="AD165" s="123">
        <f t="shared" si="385"/>
        <v>0</v>
      </c>
      <c r="AE165" s="627">
        <f t="shared" si="385"/>
        <v>0</v>
      </c>
      <c r="AF165" s="634">
        <f t="shared" si="385"/>
        <v>0</v>
      </c>
      <c r="AG165" s="124">
        <f t="shared" si="385"/>
        <v>0</v>
      </c>
      <c r="AH165" s="124">
        <f t="shared" si="385"/>
        <v>0</v>
      </c>
      <c r="AI165" s="124">
        <f t="shared" si="385"/>
        <v>0</v>
      </c>
      <c r="AJ165" s="124">
        <f t="shared" si="385"/>
        <v>0</v>
      </c>
      <c r="AK165" s="124">
        <f t="shared" si="385"/>
        <v>0</v>
      </c>
      <c r="AL165" s="635">
        <f t="shared" si="385"/>
        <v>0</v>
      </c>
      <c r="AM165" s="122">
        <f t="shared" si="385"/>
        <v>4155058</v>
      </c>
      <c r="AN165" s="123">
        <f t="shared" si="385"/>
        <v>3082387</v>
      </c>
      <c r="AO165" s="123">
        <f t="shared" si="385"/>
        <v>0</v>
      </c>
      <c r="AP165" s="123">
        <f t="shared" si="385"/>
        <v>1041847</v>
      </c>
      <c r="AQ165" s="123">
        <f t="shared" si="385"/>
        <v>30824</v>
      </c>
      <c r="AR165" s="123">
        <f t="shared" si="385"/>
        <v>0</v>
      </c>
      <c r="AS165" s="124">
        <f t="shared" si="385"/>
        <v>5.22</v>
      </c>
    </row>
    <row r="166" spans="4:45" ht="12.75" customHeight="1" x14ac:dyDescent="0.2">
      <c r="D166" s="4"/>
      <c r="E166" s="4"/>
      <c r="F166" s="4"/>
      <c r="G166" s="4"/>
      <c r="H166" s="4"/>
    </row>
    <row r="167" spans="4:45" x14ac:dyDescent="0.2">
      <c r="W167" s="13"/>
      <c r="X167" s="13"/>
      <c r="Y167" s="13"/>
      <c r="Z167" s="13"/>
    </row>
  </sheetData>
  <mergeCells count="46">
    <mergeCell ref="AI8:AI10"/>
    <mergeCell ref="AA7:AA10"/>
    <mergeCell ref="AD7:AD10"/>
    <mergeCell ref="AF8:AF10"/>
    <mergeCell ref="AG8:AG10"/>
    <mergeCell ref="AH8:AH10"/>
    <mergeCell ref="A3:E3"/>
    <mergeCell ref="I8:I10"/>
    <mergeCell ref="I6:O7"/>
    <mergeCell ref="AS8:AS10"/>
    <mergeCell ref="Z9:Z10"/>
    <mergeCell ref="V9:V10"/>
    <mergeCell ref="X9:X10"/>
    <mergeCell ref="AO9:AO10"/>
    <mergeCell ref="AR9:AR10"/>
    <mergeCell ref="P6:AL6"/>
    <mergeCell ref="AM6:AS7"/>
    <mergeCell ref="P7:V8"/>
    <mergeCell ref="M9:M10"/>
    <mergeCell ref="N9:N10"/>
    <mergeCell ref="S9:S10"/>
    <mergeCell ref="U9:U10"/>
    <mergeCell ref="O8:O10"/>
    <mergeCell ref="J9:J10"/>
    <mergeCell ref="L9:L10"/>
    <mergeCell ref="Q9:Q10"/>
    <mergeCell ref="R9:R10"/>
    <mergeCell ref="P9:P10"/>
    <mergeCell ref="J8:M8"/>
    <mergeCell ref="K9:K10"/>
    <mergeCell ref="AP9:AP10"/>
    <mergeCell ref="AF7:AL7"/>
    <mergeCell ref="W7:Z8"/>
    <mergeCell ref="T9:T10"/>
    <mergeCell ref="AQ9:AQ10"/>
    <mergeCell ref="AM8:AM10"/>
    <mergeCell ref="AN9:AN10"/>
    <mergeCell ref="AE7:AE10"/>
    <mergeCell ref="AB7:AB10"/>
    <mergeCell ref="AC7:AC10"/>
    <mergeCell ref="AJ8:AJ10"/>
    <mergeCell ref="AK8:AK10"/>
    <mergeCell ref="AL8:AL10"/>
    <mergeCell ref="AN8:AQ8"/>
    <mergeCell ref="W9:W10"/>
    <mergeCell ref="Y9:Y10"/>
  </mergeCells>
  <pageMargins left="0.7" right="0.7" top="0.78740157499999996" bottom="0.78740157499999996" header="0.3" footer="0.3"/>
  <pageSetup paperSize="8" scale="1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AS94"/>
  <sheetViews>
    <sheetView zoomScaleNormal="100" workbookViewId="0">
      <pane xSplit="8" ySplit="11" topLeftCell="AB65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customWidth="1"/>
    <col min="7" max="7" width="10.28515625" style="38" customWidth="1"/>
    <col min="8" max="8" width="8" customWidth="1"/>
    <col min="9" max="9" width="12.85546875" style="7" customWidth="1"/>
    <col min="10" max="11" width="12.42578125" style="7" customWidth="1"/>
    <col min="12" max="12" width="12" style="7" customWidth="1"/>
    <col min="13" max="14" width="11.7109375" style="7" customWidth="1"/>
    <col min="15" max="15" width="11.42578125" style="6" customWidth="1"/>
    <col min="16" max="18" width="10.28515625" style="7" customWidth="1"/>
    <col min="19" max="19" width="10.5703125" style="7" customWidth="1"/>
    <col min="20" max="20" width="12.140625" style="7" customWidth="1"/>
    <col min="21" max="26" width="10.28515625" style="7" customWidth="1"/>
    <col min="27" max="27" width="10.140625" style="6" customWidth="1"/>
    <col min="28" max="28" width="9.28515625" style="6" customWidth="1"/>
    <col min="29" max="30" width="9.140625" style="7" customWidth="1"/>
    <col min="31" max="31" width="9.7109375" style="7" customWidth="1"/>
    <col min="32" max="33" width="9.140625" style="6" customWidth="1"/>
    <col min="34" max="34" width="10.140625" style="6" customWidth="1"/>
    <col min="35" max="35" width="9.28515625" style="6" customWidth="1"/>
    <col min="36" max="36" width="10.5703125" style="6" customWidth="1"/>
    <col min="37" max="37" width="10.140625" style="6" customWidth="1"/>
    <col min="38" max="38" width="9.28515625" style="6" customWidth="1"/>
    <col min="39" max="39" width="13" style="6" customWidth="1"/>
    <col min="40" max="42" width="10.85546875" style="6" customWidth="1"/>
    <col min="43" max="43" width="12.42578125" style="6" customWidth="1"/>
    <col min="44" max="44" width="10.85546875" style="6" customWidth="1"/>
    <col min="45" max="45" width="11.140625" style="6" customWidth="1"/>
    <col min="148" max="148" width="7" customWidth="1"/>
    <col min="149" max="149" width="30.140625" customWidth="1"/>
    <col min="150" max="150" width="6.28515625" customWidth="1"/>
    <col min="151" max="151" width="31.42578125" customWidth="1"/>
    <col min="152" max="152" width="10.5703125" customWidth="1"/>
    <col min="153" max="153" width="10.42578125" customWidth="1"/>
    <col min="154" max="154" width="9.5703125" customWidth="1"/>
    <col min="155" max="155" width="8.42578125" customWidth="1"/>
    <col min="156" max="156" width="9" customWidth="1"/>
    <col min="157" max="157" width="10.42578125" customWidth="1"/>
    <col min="160" max="160" width="10.28515625" customWidth="1"/>
    <col min="404" max="404" width="7" customWidth="1"/>
    <col min="405" max="405" width="30.140625" customWidth="1"/>
    <col min="406" max="406" width="6.28515625" customWidth="1"/>
    <col min="407" max="407" width="31.42578125" customWidth="1"/>
    <col min="408" max="408" width="10.5703125" customWidth="1"/>
    <col min="409" max="409" width="10.42578125" customWidth="1"/>
    <col min="410" max="410" width="9.5703125" customWidth="1"/>
    <col min="411" max="411" width="8.42578125" customWidth="1"/>
    <col min="412" max="412" width="9" customWidth="1"/>
    <col min="413" max="413" width="10.42578125" customWidth="1"/>
    <col min="416" max="416" width="10.28515625" customWidth="1"/>
    <col min="660" max="660" width="7" customWidth="1"/>
    <col min="661" max="661" width="30.140625" customWidth="1"/>
    <col min="662" max="662" width="6.28515625" customWidth="1"/>
    <col min="663" max="663" width="31.42578125" customWidth="1"/>
    <col min="664" max="664" width="10.5703125" customWidth="1"/>
    <col min="665" max="665" width="10.42578125" customWidth="1"/>
    <col min="666" max="666" width="9.5703125" customWidth="1"/>
    <col min="667" max="667" width="8.42578125" customWidth="1"/>
    <col min="668" max="668" width="9" customWidth="1"/>
    <col min="669" max="669" width="10.42578125" customWidth="1"/>
    <col min="672" max="672" width="10.28515625" customWidth="1"/>
    <col min="916" max="916" width="7" customWidth="1"/>
    <col min="917" max="917" width="30.140625" customWidth="1"/>
    <col min="918" max="918" width="6.28515625" customWidth="1"/>
    <col min="919" max="919" width="31.42578125" customWidth="1"/>
    <col min="920" max="920" width="10.5703125" customWidth="1"/>
    <col min="921" max="921" width="10.42578125" customWidth="1"/>
    <col min="922" max="922" width="9.5703125" customWidth="1"/>
    <col min="923" max="923" width="8.42578125" customWidth="1"/>
    <col min="924" max="924" width="9" customWidth="1"/>
    <col min="925" max="925" width="10.42578125" customWidth="1"/>
    <col min="928" max="928" width="10.28515625" customWidth="1"/>
    <col min="1172" max="1172" width="7" customWidth="1"/>
    <col min="1173" max="1173" width="30.140625" customWidth="1"/>
    <col min="1174" max="1174" width="6.28515625" customWidth="1"/>
    <col min="1175" max="1175" width="31.42578125" customWidth="1"/>
    <col min="1176" max="1176" width="10.5703125" customWidth="1"/>
    <col min="1177" max="1177" width="10.42578125" customWidth="1"/>
    <col min="1178" max="1178" width="9.5703125" customWidth="1"/>
    <col min="1179" max="1179" width="8.42578125" customWidth="1"/>
    <col min="1180" max="1180" width="9" customWidth="1"/>
    <col min="1181" max="1181" width="10.42578125" customWidth="1"/>
    <col min="1184" max="1184" width="10.28515625" customWidth="1"/>
    <col min="1428" max="1428" width="7" customWidth="1"/>
    <col min="1429" max="1429" width="30.140625" customWidth="1"/>
    <col min="1430" max="1430" width="6.28515625" customWidth="1"/>
    <col min="1431" max="1431" width="31.42578125" customWidth="1"/>
    <col min="1432" max="1432" width="10.5703125" customWidth="1"/>
    <col min="1433" max="1433" width="10.42578125" customWidth="1"/>
    <col min="1434" max="1434" width="9.5703125" customWidth="1"/>
    <col min="1435" max="1435" width="8.42578125" customWidth="1"/>
    <col min="1436" max="1436" width="9" customWidth="1"/>
    <col min="1437" max="1437" width="10.42578125" customWidth="1"/>
    <col min="1440" max="1440" width="10.28515625" customWidth="1"/>
    <col min="1684" max="1684" width="7" customWidth="1"/>
    <col min="1685" max="1685" width="30.140625" customWidth="1"/>
    <col min="1686" max="1686" width="6.28515625" customWidth="1"/>
    <col min="1687" max="1687" width="31.42578125" customWidth="1"/>
    <col min="1688" max="1688" width="10.5703125" customWidth="1"/>
    <col min="1689" max="1689" width="10.42578125" customWidth="1"/>
    <col min="1690" max="1690" width="9.5703125" customWidth="1"/>
    <col min="1691" max="1691" width="8.42578125" customWidth="1"/>
    <col min="1692" max="1692" width="9" customWidth="1"/>
    <col min="1693" max="1693" width="10.42578125" customWidth="1"/>
    <col min="1696" max="1696" width="10.28515625" customWidth="1"/>
    <col min="1940" max="1940" width="7" customWidth="1"/>
    <col min="1941" max="1941" width="30.140625" customWidth="1"/>
    <col min="1942" max="1942" width="6.28515625" customWidth="1"/>
    <col min="1943" max="1943" width="31.42578125" customWidth="1"/>
    <col min="1944" max="1944" width="10.5703125" customWidth="1"/>
    <col min="1945" max="1945" width="10.42578125" customWidth="1"/>
    <col min="1946" max="1946" width="9.5703125" customWidth="1"/>
    <col min="1947" max="1947" width="8.42578125" customWidth="1"/>
    <col min="1948" max="1948" width="9" customWidth="1"/>
    <col min="1949" max="1949" width="10.42578125" customWidth="1"/>
    <col min="1952" max="1952" width="10.28515625" customWidth="1"/>
    <col min="2196" max="2196" width="7" customWidth="1"/>
    <col min="2197" max="2197" width="30.140625" customWidth="1"/>
    <col min="2198" max="2198" width="6.28515625" customWidth="1"/>
    <col min="2199" max="2199" width="31.42578125" customWidth="1"/>
    <col min="2200" max="2200" width="10.5703125" customWidth="1"/>
    <col min="2201" max="2201" width="10.42578125" customWidth="1"/>
    <col min="2202" max="2202" width="9.5703125" customWidth="1"/>
    <col min="2203" max="2203" width="8.42578125" customWidth="1"/>
    <col min="2204" max="2204" width="9" customWidth="1"/>
    <col min="2205" max="2205" width="10.42578125" customWidth="1"/>
    <col min="2208" max="2208" width="10.28515625" customWidth="1"/>
    <col min="2452" max="2452" width="7" customWidth="1"/>
    <col min="2453" max="2453" width="30.140625" customWidth="1"/>
    <col min="2454" max="2454" width="6.28515625" customWidth="1"/>
    <col min="2455" max="2455" width="31.42578125" customWidth="1"/>
    <col min="2456" max="2456" width="10.5703125" customWidth="1"/>
    <col min="2457" max="2457" width="10.42578125" customWidth="1"/>
    <col min="2458" max="2458" width="9.5703125" customWidth="1"/>
    <col min="2459" max="2459" width="8.42578125" customWidth="1"/>
    <col min="2460" max="2460" width="9" customWidth="1"/>
    <col min="2461" max="2461" width="10.42578125" customWidth="1"/>
    <col min="2464" max="2464" width="10.28515625" customWidth="1"/>
    <col min="2708" max="2708" width="7" customWidth="1"/>
    <col min="2709" max="2709" width="30.140625" customWidth="1"/>
    <col min="2710" max="2710" width="6.28515625" customWidth="1"/>
    <col min="2711" max="2711" width="31.42578125" customWidth="1"/>
    <col min="2712" max="2712" width="10.5703125" customWidth="1"/>
    <col min="2713" max="2713" width="10.42578125" customWidth="1"/>
    <col min="2714" max="2714" width="9.5703125" customWidth="1"/>
    <col min="2715" max="2715" width="8.42578125" customWidth="1"/>
    <col min="2716" max="2716" width="9" customWidth="1"/>
    <col min="2717" max="2717" width="10.42578125" customWidth="1"/>
    <col min="2720" max="2720" width="10.28515625" customWidth="1"/>
    <col min="2964" max="2964" width="7" customWidth="1"/>
    <col min="2965" max="2965" width="30.140625" customWidth="1"/>
    <col min="2966" max="2966" width="6.28515625" customWidth="1"/>
    <col min="2967" max="2967" width="31.42578125" customWidth="1"/>
    <col min="2968" max="2968" width="10.5703125" customWidth="1"/>
    <col min="2969" max="2969" width="10.42578125" customWidth="1"/>
    <col min="2970" max="2970" width="9.5703125" customWidth="1"/>
    <col min="2971" max="2971" width="8.42578125" customWidth="1"/>
    <col min="2972" max="2972" width="9" customWidth="1"/>
    <col min="2973" max="2973" width="10.42578125" customWidth="1"/>
    <col min="2976" max="2976" width="10.28515625" customWidth="1"/>
    <col min="3220" max="3220" width="7" customWidth="1"/>
    <col min="3221" max="3221" width="30.140625" customWidth="1"/>
    <col min="3222" max="3222" width="6.28515625" customWidth="1"/>
    <col min="3223" max="3223" width="31.42578125" customWidth="1"/>
    <col min="3224" max="3224" width="10.5703125" customWidth="1"/>
    <col min="3225" max="3225" width="10.42578125" customWidth="1"/>
    <col min="3226" max="3226" width="9.5703125" customWidth="1"/>
    <col min="3227" max="3227" width="8.42578125" customWidth="1"/>
    <col min="3228" max="3228" width="9" customWidth="1"/>
    <col min="3229" max="3229" width="10.42578125" customWidth="1"/>
    <col min="3232" max="3232" width="10.28515625" customWidth="1"/>
    <col min="3476" max="3476" width="7" customWidth="1"/>
    <col min="3477" max="3477" width="30.140625" customWidth="1"/>
    <col min="3478" max="3478" width="6.28515625" customWidth="1"/>
    <col min="3479" max="3479" width="31.42578125" customWidth="1"/>
    <col min="3480" max="3480" width="10.5703125" customWidth="1"/>
    <col min="3481" max="3481" width="10.42578125" customWidth="1"/>
    <col min="3482" max="3482" width="9.5703125" customWidth="1"/>
    <col min="3483" max="3483" width="8.42578125" customWidth="1"/>
    <col min="3484" max="3484" width="9" customWidth="1"/>
    <col min="3485" max="3485" width="10.42578125" customWidth="1"/>
    <col min="3488" max="3488" width="10.28515625" customWidth="1"/>
    <col min="3732" max="3732" width="7" customWidth="1"/>
    <col min="3733" max="3733" width="30.140625" customWidth="1"/>
    <col min="3734" max="3734" width="6.28515625" customWidth="1"/>
    <col min="3735" max="3735" width="31.42578125" customWidth="1"/>
    <col min="3736" max="3736" width="10.5703125" customWidth="1"/>
    <col min="3737" max="3737" width="10.42578125" customWidth="1"/>
    <col min="3738" max="3738" width="9.5703125" customWidth="1"/>
    <col min="3739" max="3739" width="8.42578125" customWidth="1"/>
    <col min="3740" max="3740" width="9" customWidth="1"/>
    <col min="3741" max="3741" width="10.42578125" customWidth="1"/>
    <col min="3744" max="3744" width="10.28515625" customWidth="1"/>
    <col min="3988" max="3988" width="7" customWidth="1"/>
    <col min="3989" max="3989" width="30.140625" customWidth="1"/>
    <col min="3990" max="3990" width="6.28515625" customWidth="1"/>
    <col min="3991" max="3991" width="31.42578125" customWidth="1"/>
    <col min="3992" max="3992" width="10.5703125" customWidth="1"/>
    <col min="3993" max="3993" width="10.42578125" customWidth="1"/>
    <col min="3994" max="3994" width="9.5703125" customWidth="1"/>
    <col min="3995" max="3995" width="8.42578125" customWidth="1"/>
    <col min="3996" max="3996" width="9" customWidth="1"/>
    <col min="3997" max="3997" width="10.42578125" customWidth="1"/>
    <col min="4000" max="4000" width="10.28515625" customWidth="1"/>
    <col min="4244" max="4244" width="7" customWidth="1"/>
    <col min="4245" max="4245" width="30.140625" customWidth="1"/>
    <col min="4246" max="4246" width="6.28515625" customWidth="1"/>
    <col min="4247" max="4247" width="31.42578125" customWidth="1"/>
    <col min="4248" max="4248" width="10.5703125" customWidth="1"/>
    <col min="4249" max="4249" width="10.42578125" customWidth="1"/>
    <col min="4250" max="4250" width="9.5703125" customWidth="1"/>
    <col min="4251" max="4251" width="8.42578125" customWidth="1"/>
    <col min="4252" max="4252" width="9" customWidth="1"/>
    <col min="4253" max="4253" width="10.42578125" customWidth="1"/>
    <col min="4256" max="4256" width="10.28515625" customWidth="1"/>
    <col min="4500" max="4500" width="7" customWidth="1"/>
    <col min="4501" max="4501" width="30.140625" customWidth="1"/>
    <col min="4502" max="4502" width="6.28515625" customWidth="1"/>
    <col min="4503" max="4503" width="31.42578125" customWidth="1"/>
    <col min="4504" max="4504" width="10.5703125" customWidth="1"/>
    <col min="4505" max="4505" width="10.42578125" customWidth="1"/>
    <col min="4506" max="4506" width="9.5703125" customWidth="1"/>
    <col min="4507" max="4507" width="8.42578125" customWidth="1"/>
    <col min="4508" max="4508" width="9" customWidth="1"/>
    <col min="4509" max="4509" width="10.42578125" customWidth="1"/>
    <col min="4512" max="4512" width="10.28515625" customWidth="1"/>
    <col min="4756" max="4756" width="7" customWidth="1"/>
    <col min="4757" max="4757" width="30.140625" customWidth="1"/>
    <col min="4758" max="4758" width="6.28515625" customWidth="1"/>
    <col min="4759" max="4759" width="31.42578125" customWidth="1"/>
    <col min="4760" max="4760" width="10.5703125" customWidth="1"/>
    <col min="4761" max="4761" width="10.42578125" customWidth="1"/>
    <col min="4762" max="4762" width="9.5703125" customWidth="1"/>
    <col min="4763" max="4763" width="8.42578125" customWidth="1"/>
    <col min="4764" max="4764" width="9" customWidth="1"/>
    <col min="4765" max="4765" width="10.42578125" customWidth="1"/>
    <col min="4768" max="4768" width="10.28515625" customWidth="1"/>
    <col min="5012" max="5012" width="7" customWidth="1"/>
    <col min="5013" max="5013" width="30.140625" customWidth="1"/>
    <col min="5014" max="5014" width="6.28515625" customWidth="1"/>
    <col min="5015" max="5015" width="31.42578125" customWidth="1"/>
    <col min="5016" max="5016" width="10.5703125" customWidth="1"/>
    <col min="5017" max="5017" width="10.42578125" customWidth="1"/>
    <col min="5018" max="5018" width="9.5703125" customWidth="1"/>
    <col min="5019" max="5019" width="8.42578125" customWidth="1"/>
    <col min="5020" max="5020" width="9" customWidth="1"/>
    <col min="5021" max="5021" width="10.42578125" customWidth="1"/>
    <col min="5024" max="5024" width="10.28515625" customWidth="1"/>
    <col min="5268" max="5268" width="7" customWidth="1"/>
    <col min="5269" max="5269" width="30.140625" customWidth="1"/>
    <col min="5270" max="5270" width="6.28515625" customWidth="1"/>
    <col min="5271" max="5271" width="31.42578125" customWidth="1"/>
    <col min="5272" max="5272" width="10.5703125" customWidth="1"/>
    <col min="5273" max="5273" width="10.42578125" customWidth="1"/>
    <col min="5274" max="5274" width="9.5703125" customWidth="1"/>
    <col min="5275" max="5275" width="8.42578125" customWidth="1"/>
    <col min="5276" max="5276" width="9" customWidth="1"/>
    <col min="5277" max="5277" width="10.42578125" customWidth="1"/>
    <col min="5280" max="5280" width="10.28515625" customWidth="1"/>
    <col min="5524" max="5524" width="7" customWidth="1"/>
    <col min="5525" max="5525" width="30.140625" customWidth="1"/>
    <col min="5526" max="5526" width="6.28515625" customWidth="1"/>
    <col min="5527" max="5527" width="31.42578125" customWidth="1"/>
    <col min="5528" max="5528" width="10.5703125" customWidth="1"/>
    <col min="5529" max="5529" width="10.42578125" customWidth="1"/>
    <col min="5530" max="5530" width="9.5703125" customWidth="1"/>
    <col min="5531" max="5531" width="8.42578125" customWidth="1"/>
    <col min="5532" max="5532" width="9" customWidth="1"/>
    <col min="5533" max="5533" width="10.42578125" customWidth="1"/>
    <col min="5536" max="5536" width="10.28515625" customWidth="1"/>
    <col min="5780" max="5780" width="7" customWidth="1"/>
    <col min="5781" max="5781" width="30.140625" customWidth="1"/>
    <col min="5782" max="5782" width="6.28515625" customWidth="1"/>
    <col min="5783" max="5783" width="31.42578125" customWidth="1"/>
    <col min="5784" max="5784" width="10.5703125" customWidth="1"/>
    <col min="5785" max="5785" width="10.42578125" customWidth="1"/>
    <col min="5786" max="5786" width="9.5703125" customWidth="1"/>
    <col min="5787" max="5787" width="8.42578125" customWidth="1"/>
    <col min="5788" max="5788" width="9" customWidth="1"/>
    <col min="5789" max="5789" width="10.42578125" customWidth="1"/>
    <col min="5792" max="5792" width="10.28515625" customWidth="1"/>
    <col min="6036" max="6036" width="7" customWidth="1"/>
    <col min="6037" max="6037" width="30.140625" customWidth="1"/>
    <col min="6038" max="6038" width="6.28515625" customWidth="1"/>
    <col min="6039" max="6039" width="31.42578125" customWidth="1"/>
    <col min="6040" max="6040" width="10.5703125" customWidth="1"/>
    <col min="6041" max="6041" width="10.42578125" customWidth="1"/>
    <col min="6042" max="6042" width="9.5703125" customWidth="1"/>
    <col min="6043" max="6043" width="8.42578125" customWidth="1"/>
    <col min="6044" max="6044" width="9" customWidth="1"/>
    <col min="6045" max="6045" width="10.42578125" customWidth="1"/>
    <col min="6048" max="6048" width="10.28515625" customWidth="1"/>
    <col min="6292" max="6292" width="7" customWidth="1"/>
    <col min="6293" max="6293" width="30.140625" customWidth="1"/>
    <col min="6294" max="6294" width="6.28515625" customWidth="1"/>
    <col min="6295" max="6295" width="31.42578125" customWidth="1"/>
    <col min="6296" max="6296" width="10.5703125" customWidth="1"/>
    <col min="6297" max="6297" width="10.42578125" customWidth="1"/>
    <col min="6298" max="6298" width="9.5703125" customWidth="1"/>
    <col min="6299" max="6299" width="8.42578125" customWidth="1"/>
    <col min="6300" max="6300" width="9" customWidth="1"/>
    <col min="6301" max="6301" width="10.42578125" customWidth="1"/>
    <col min="6304" max="6304" width="10.28515625" customWidth="1"/>
    <col min="6548" max="6548" width="7" customWidth="1"/>
    <col min="6549" max="6549" width="30.140625" customWidth="1"/>
    <col min="6550" max="6550" width="6.28515625" customWidth="1"/>
    <col min="6551" max="6551" width="31.42578125" customWidth="1"/>
    <col min="6552" max="6552" width="10.5703125" customWidth="1"/>
    <col min="6553" max="6553" width="10.42578125" customWidth="1"/>
    <col min="6554" max="6554" width="9.5703125" customWidth="1"/>
    <col min="6555" max="6555" width="8.42578125" customWidth="1"/>
    <col min="6556" max="6556" width="9" customWidth="1"/>
    <col min="6557" max="6557" width="10.42578125" customWidth="1"/>
    <col min="6560" max="6560" width="10.28515625" customWidth="1"/>
    <col min="6804" max="6804" width="7" customWidth="1"/>
    <col min="6805" max="6805" width="30.140625" customWidth="1"/>
    <col min="6806" max="6806" width="6.28515625" customWidth="1"/>
    <col min="6807" max="6807" width="31.42578125" customWidth="1"/>
    <col min="6808" max="6808" width="10.5703125" customWidth="1"/>
    <col min="6809" max="6809" width="10.42578125" customWidth="1"/>
    <col min="6810" max="6810" width="9.5703125" customWidth="1"/>
    <col min="6811" max="6811" width="8.42578125" customWidth="1"/>
    <col min="6812" max="6812" width="9" customWidth="1"/>
    <col min="6813" max="6813" width="10.42578125" customWidth="1"/>
    <col min="6816" max="6816" width="10.28515625" customWidth="1"/>
    <col min="7060" max="7060" width="7" customWidth="1"/>
    <col min="7061" max="7061" width="30.140625" customWidth="1"/>
    <col min="7062" max="7062" width="6.28515625" customWidth="1"/>
    <col min="7063" max="7063" width="31.42578125" customWidth="1"/>
    <col min="7064" max="7064" width="10.5703125" customWidth="1"/>
    <col min="7065" max="7065" width="10.42578125" customWidth="1"/>
    <col min="7066" max="7066" width="9.5703125" customWidth="1"/>
    <col min="7067" max="7067" width="8.42578125" customWidth="1"/>
    <col min="7068" max="7068" width="9" customWidth="1"/>
    <col min="7069" max="7069" width="10.42578125" customWidth="1"/>
    <col min="7072" max="7072" width="10.28515625" customWidth="1"/>
    <col min="7316" max="7316" width="7" customWidth="1"/>
    <col min="7317" max="7317" width="30.140625" customWidth="1"/>
    <col min="7318" max="7318" width="6.28515625" customWidth="1"/>
    <col min="7319" max="7319" width="31.42578125" customWidth="1"/>
    <col min="7320" max="7320" width="10.5703125" customWidth="1"/>
    <col min="7321" max="7321" width="10.42578125" customWidth="1"/>
    <col min="7322" max="7322" width="9.5703125" customWidth="1"/>
    <col min="7323" max="7323" width="8.42578125" customWidth="1"/>
    <col min="7324" max="7324" width="9" customWidth="1"/>
    <col min="7325" max="7325" width="10.42578125" customWidth="1"/>
    <col min="7328" max="7328" width="10.28515625" customWidth="1"/>
    <col min="7572" max="7572" width="7" customWidth="1"/>
    <col min="7573" max="7573" width="30.140625" customWidth="1"/>
    <col min="7574" max="7574" width="6.28515625" customWidth="1"/>
    <col min="7575" max="7575" width="31.42578125" customWidth="1"/>
    <col min="7576" max="7576" width="10.5703125" customWidth="1"/>
    <col min="7577" max="7577" width="10.42578125" customWidth="1"/>
    <col min="7578" max="7578" width="9.5703125" customWidth="1"/>
    <col min="7579" max="7579" width="8.42578125" customWidth="1"/>
    <col min="7580" max="7580" width="9" customWidth="1"/>
    <col min="7581" max="7581" width="10.42578125" customWidth="1"/>
    <col min="7584" max="7584" width="10.28515625" customWidth="1"/>
    <col min="7828" max="7828" width="7" customWidth="1"/>
    <col min="7829" max="7829" width="30.140625" customWidth="1"/>
    <col min="7830" max="7830" width="6.28515625" customWidth="1"/>
    <col min="7831" max="7831" width="31.42578125" customWidth="1"/>
    <col min="7832" max="7832" width="10.5703125" customWidth="1"/>
    <col min="7833" max="7833" width="10.42578125" customWidth="1"/>
    <col min="7834" max="7834" width="9.5703125" customWidth="1"/>
    <col min="7835" max="7835" width="8.42578125" customWidth="1"/>
    <col min="7836" max="7836" width="9" customWidth="1"/>
    <col min="7837" max="7837" width="10.42578125" customWidth="1"/>
    <col min="7840" max="7840" width="10.28515625" customWidth="1"/>
    <col min="8084" max="8084" width="7" customWidth="1"/>
    <col min="8085" max="8085" width="30.140625" customWidth="1"/>
    <col min="8086" max="8086" width="6.28515625" customWidth="1"/>
    <col min="8087" max="8087" width="31.42578125" customWidth="1"/>
    <col min="8088" max="8088" width="10.5703125" customWidth="1"/>
    <col min="8089" max="8089" width="10.42578125" customWidth="1"/>
    <col min="8090" max="8090" width="9.5703125" customWidth="1"/>
    <col min="8091" max="8091" width="8.42578125" customWidth="1"/>
    <col min="8092" max="8092" width="9" customWidth="1"/>
    <col min="8093" max="8093" width="10.42578125" customWidth="1"/>
    <col min="8096" max="8096" width="10.28515625" customWidth="1"/>
    <col min="8340" max="8340" width="7" customWidth="1"/>
    <col min="8341" max="8341" width="30.140625" customWidth="1"/>
    <col min="8342" max="8342" width="6.28515625" customWidth="1"/>
    <col min="8343" max="8343" width="31.42578125" customWidth="1"/>
    <col min="8344" max="8344" width="10.5703125" customWidth="1"/>
    <col min="8345" max="8345" width="10.42578125" customWidth="1"/>
    <col min="8346" max="8346" width="9.5703125" customWidth="1"/>
    <col min="8347" max="8347" width="8.42578125" customWidth="1"/>
    <col min="8348" max="8348" width="9" customWidth="1"/>
    <col min="8349" max="8349" width="10.42578125" customWidth="1"/>
    <col min="8352" max="8352" width="10.28515625" customWidth="1"/>
    <col min="8596" max="8596" width="7" customWidth="1"/>
    <col min="8597" max="8597" width="30.140625" customWidth="1"/>
    <col min="8598" max="8598" width="6.28515625" customWidth="1"/>
    <col min="8599" max="8599" width="31.42578125" customWidth="1"/>
    <col min="8600" max="8600" width="10.5703125" customWidth="1"/>
    <col min="8601" max="8601" width="10.42578125" customWidth="1"/>
    <col min="8602" max="8602" width="9.5703125" customWidth="1"/>
    <col min="8603" max="8603" width="8.42578125" customWidth="1"/>
    <col min="8604" max="8604" width="9" customWidth="1"/>
    <col min="8605" max="8605" width="10.42578125" customWidth="1"/>
    <col min="8608" max="8608" width="10.28515625" customWidth="1"/>
    <col min="8852" max="8852" width="7" customWidth="1"/>
    <col min="8853" max="8853" width="30.140625" customWidth="1"/>
    <col min="8854" max="8854" width="6.28515625" customWidth="1"/>
    <col min="8855" max="8855" width="31.42578125" customWidth="1"/>
    <col min="8856" max="8856" width="10.5703125" customWidth="1"/>
    <col min="8857" max="8857" width="10.42578125" customWidth="1"/>
    <col min="8858" max="8858" width="9.5703125" customWidth="1"/>
    <col min="8859" max="8859" width="8.42578125" customWidth="1"/>
    <col min="8860" max="8860" width="9" customWidth="1"/>
    <col min="8861" max="8861" width="10.42578125" customWidth="1"/>
    <col min="8864" max="8864" width="10.28515625" customWidth="1"/>
    <col min="9108" max="9108" width="7" customWidth="1"/>
    <col min="9109" max="9109" width="30.140625" customWidth="1"/>
    <col min="9110" max="9110" width="6.28515625" customWidth="1"/>
    <col min="9111" max="9111" width="31.42578125" customWidth="1"/>
    <col min="9112" max="9112" width="10.5703125" customWidth="1"/>
    <col min="9113" max="9113" width="10.42578125" customWidth="1"/>
    <col min="9114" max="9114" width="9.5703125" customWidth="1"/>
    <col min="9115" max="9115" width="8.42578125" customWidth="1"/>
    <col min="9116" max="9116" width="9" customWidth="1"/>
    <col min="9117" max="9117" width="10.42578125" customWidth="1"/>
    <col min="9120" max="9120" width="10.28515625" customWidth="1"/>
    <col min="9364" max="9364" width="7" customWidth="1"/>
    <col min="9365" max="9365" width="30.140625" customWidth="1"/>
    <col min="9366" max="9366" width="6.28515625" customWidth="1"/>
    <col min="9367" max="9367" width="31.42578125" customWidth="1"/>
    <col min="9368" max="9368" width="10.5703125" customWidth="1"/>
    <col min="9369" max="9369" width="10.42578125" customWidth="1"/>
    <col min="9370" max="9370" width="9.5703125" customWidth="1"/>
    <col min="9371" max="9371" width="8.42578125" customWidth="1"/>
    <col min="9372" max="9372" width="9" customWidth="1"/>
    <col min="9373" max="9373" width="10.42578125" customWidth="1"/>
    <col min="9376" max="9376" width="10.28515625" customWidth="1"/>
    <col min="9620" max="9620" width="7" customWidth="1"/>
    <col min="9621" max="9621" width="30.140625" customWidth="1"/>
    <col min="9622" max="9622" width="6.28515625" customWidth="1"/>
    <col min="9623" max="9623" width="31.42578125" customWidth="1"/>
    <col min="9624" max="9624" width="10.5703125" customWidth="1"/>
    <col min="9625" max="9625" width="10.42578125" customWidth="1"/>
    <col min="9626" max="9626" width="9.5703125" customWidth="1"/>
    <col min="9627" max="9627" width="8.42578125" customWidth="1"/>
    <col min="9628" max="9628" width="9" customWidth="1"/>
    <col min="9629" max="9629" width="10.42578125" customWidth="1"/>
    <col min="9632" max="9632" width="10.28515625" customWidth="1"/>
    <col min="9876" max="9876" width="7" customWidth="1"/>
    <col min="9877" max="9877" width="30.140625" customWidth="1"/>
    <col min="9878" max="9878" width="6.28515625" customWidth="1"/>
    <col min="9879" max="9879" width="31.42578125" customWidth="1"/>
    <col min="9880" max="9880" width="10.5703125" customWidth="1"/>
    <col min="9881" max="9881" width="10.42578125" customWidth="1"/>
    <col min="9882" max="9882" width="9.5703125" customWidth="1"/>
    <col min="9883" max="9883" width="8.42578125" customWidth="1"/>
    <col min="9884" max="9884" width="9" customWidth="1"/>
    <col min="9885" max="9885" width="10.42578125" customWidth="1"/>
    <col min="9888" max="9888" width="10.28515625" customWidth="1"/>
    <col min="10132" max="10132" width="7" customWidth="1"/>
    <col min="10133" max="10133" width="30.140625" customWidth="1"/>
    <col min="10134" max="10134" width="6.28515625" customWidth="1"/>
    <col min="10135" max="10135" width="31.42578125" customWidth="1"/>
    <col min="10136" max="10136" width="10.5703125" customWidth="1"/>
    <col min="10137" max="10137" width="10.42578125" customWidth="1"/>
    <col min="10138" max="10138" width="9.5703125" customWidth="1"/>
    <col min="10139" max="10139" width="8.42578125" customWidth="1"/>
    <col min="10140" max="10140" width="9" customWidth="1"/>
    <col min="10141" max="10141" width="10.42578125" customWidth="1"/>
    <col min="10144" max="10144" width="10.28515625" customWidth="1"/>
    <col min="10388" max="10388" width="7" customWidth="1"/>
    <col min="10389" max="10389" width="30.140625" customWidth="1"/>
    <col min="10390" max="10390" width="6.28515625" customWidth="1"/>
    <col min="10391" max="10391" width="31.42578125" customWidth="1"/>
    <col min="10392" max="10392" width="10.5703125" customWidth="1"/>
    <col min="10393" max="10393" width="10.42578125" customWidth="1"/>
    <col min="10394" max="10394" width="9.5703125" customWidth="1"/>
    <col min="10395" max="10395" width="8.42578125" customWidth="1"/>
    <col min="10396" max="10396" width="9" customWidth="1"/>
    <col min="10397" max="10397" width="10.42578125" customWidth="1"/>
    <col min="10400" max="10400" width="10.28515625" customWidth="1"/>
    <col min="10644" max="10644" width="7" customWidth="1"/>
    <col min="10645" max="10645" width="30.140625" customWidth="1"/>
    <col min="10646" max="10646" width="6.28515625" customWidth="1"/>
    <col min="10647" max="10647" width="31.42578125" customWidth="1"/>
    <col min="10648" max="10648" width="10.5703125" customWidth="1"/>
    <col min="10649" max="10649" width="10.42578125" customWidth="1"/>
    <col min="10650" max="10650" width="9.5703125" customWidth="1"/>
    <col min="10651" max="10651" width="8.42578125" customWidth="1"/>
    <col min="10652" max="10652" width="9" customWidth="1"/>
    <col min="10653" max="10653" width="10.42578125" customWidth="1"/>
    <col min="10656" max="10656" width="10.28515625" customWidth="1"/>
    <col min="10900" max="10900" width="7" customWidth="1"/>
    <col min="10901" max="10901" width="30.140625" customWidth="1"/>
    <col min="10902" max="10902" width="6.28515625" customWidth="1"/>
    <col min="10903" max="10903" width="31.42578125" customWidth="1"/>
    <col min="10904" max="10904" width="10.5703125" customWidth="1"/>
    <col min="10905" max="10905" width="10.42578125" customWidth="1"/>
    <col min="10906" max="10906" width="9.5703125" customWidth="1"/>
    <col min="10907" max="10907" width="8.42578125" customWidth="1"/>
    <col min="10908" max="10908" width="9" customWidth="1"/>
    <col min="10909" max="10909" width="10.42578125" customWidth="1"/>
    <col min="10912" max="10912" width="10.28515625" customWidth="1"/>
    <col min="11156" max="11156" width="7" customWidth="1"/>
    <col min="11157" max="11157" width="30.140625" customWidth="1"/>
    <col min="11158" max="11158" width="6.28515625" customWidth="1"/>
    <col min="11159" max="11159" width="31.42578125" customWidth="1"/>
    <col min="11160" max="11160" width="10.5703125" customWidth="1"/>
    <col min="11161" max="11161" width="10.42578125" customWidth="1"/>
    <col min="11162" max="11162" width="9.5703125" customWidth="1"/>
    <col min="11163" max="11163" width="8.42578125" customWidth="1"/>
    <col min="11164" max="11164" width="9" customWidth="1"/>
    <col min="11165" max="11165" width="10.42578125" customWidth="1"/>
    <col min="11168" max="11168" width="10.28515625" customWidth="1"/>
    <col min="11412" max="11412" width="7" customWidth="1"/>
    <col min="11413" max="11413" width="30.140625" customWidth="1"/>
    <col min="11414" max="11414" width="6.28515625" customWidth="1"/>
    <col min="11415" max="11415" width="31.42578125" customWidth="1"/>
    <col min="11416" max="11416" width="10.5703125" customWidth="1"/>
    <col min="11417" max="11417" width="10.42578125" customWidth="1"/>
    <col min="11418" max="11418" width="9.5703125" customWidth="1"/>
    <col min="11419" max="11419" width="8.42578125" customWidth="1"/>
    <col min="11420" max="11420" width="9" customWidth="1"/>
    <col min="11421" max="11421" width="10.42578125" customWidth="1"/>
    <col min="11424" max="11424" width="10.28515625" customWidth="1"/>
    <col min="11668" max="11668" width="7" customWidth="1"/>
    <col min="11669" max="11669" width="30.140625" customWidth="1"/>
    <col min="11670" max="11670" width="6.28515625" customWidth="1"/>
    <col min="11671" max="11671" width="31.42578125" customWidth="1"/>
    <col min="11672" max="11672" width="10.5703125" customWidth="1"/>
    <col min="11673" max="11673" width="10.42578125" customWidth="1"/>
    <col min="11674" max="11674" width="9.5703125" customWidth="1"/>
    <col min="11675" max="11675" width="8.42578125" customWidth="1"/>
    <col min="11676" max="11676" width="9" customWidth="1"/>
    <col min="11677" max="11677" width="10.42578125" customWidth="1"/>
    <col min="11680" max="11680" width="10.28515625" customWidth="1"/>
    <col min="11924" max="11924" width="7" customWidth="1"/>
    <col min="11925" max="11925" width="30.140625" customWidth="1"/>
    <col min="11926" max="11926" width="6.28515625" customWidth="1"/>
    <col min="11927" max="11927" width="31.42578125" customWidth="1"/>
    <col min="11928" max="11928" width="10.5703125" customWidth="1"/>
    <col min="11929" max="11929" width="10.42578125" customWidth="1"/>
    <col min="11930" max="11930" width="9.5703125" customWidth="1"/>
    <col min="11931" max="11931" width="8.42578125" customWidth="1"/>
    <col min="11932" max="11932" width="9" customWidth="1"/>
    <col min="11933" max="11933" width="10.42578125" customWidth="1"/>
    <col min="11936" max="11936" width="10.28515625" customWidth="1"/>
    <col min="12180" max="12180" width="7" customWidth="1"/>
    <col min="12181" max="12181" width="30.140625" customWidth="1"/>
    <col min="12182" max="12182" width="6.28515625" customWidth="1"/>
    <col min="12183" max="12183" width="31.42578125" customWidth="1"/>
    <col min="12184" max="12184" width="10.5703125" customWidth="1"/>
    <col min="12185" max="12185" width="10.42578125" customWidth="1"/>
    <col min="12186" max="12186" width="9.5703125" customWidth="1"/>
    <col min="12187" max="12187" width="8.42578125" customWidth="1"/>
    <col min="12188" max="12188" width="9" customWidth="1"/>
    <col min="12189" max="12189" width="10.42578125" customWidth="1"/>
    <col min="12192" max="12192" width="10.28515625" customWidth="1"/>
    <col min="12436" max="12436" width="7" customWidth="1"/>
    <col min="12437" max="12437" width="30.140625" customWidth="1"/>
    <col min="12438" max="12438" width="6.28515625" customWidth="1"/>
    <col min="12439" max="12439" width="31.42578125" customWidth="1"/>
    <col min="12440" max="12440" width="10.5703125" customWidth="1"/>
    <col min="12441" max="12441" width="10.42578125" customWidth="1"/>
    <col min="12442" max="12442" width="9.5703125" customWidth="1"/>
    <col min="12443" max="12443" width="8.42578125" customWidth="1"/>
    <col min="12444" max="12444" width="9" customWidth="1"/>
    <col min="12445" max="12445" width="10.42578125" customWidth="1"/>
    <col min="12448" max="12448" width="10.28515625" customWidth="1"/>
    <col min="12692" max="12692" width="7" customWidth="1"/>
    <col min="12693" max="12693" width="30.140625" customWidth="1"/>
    <col min="12694" max="12694" width="6.28515625" customWidth="1"/>
    <col min="12695" max="12695" width="31.42578125" customWidth="1"/>
    <col min="12696" max="12696" width="10.5703125" customWidth="1"/>
    <col min="12697" max="12697" width="10.42578125" customWidth="1"/>
    <col min="12698" max="12698" width="9.5703125" customWidth="1"/>
    <col min="12699" max="12699" width="8.42578125" customWidth="1"/>
    <col min="12700" max="12700" width="9" customWidth="1"/>
    <col min="12701" max="12701" width="10.42578125" customWidth="1"/>
    <col min="12704" max="12704" width="10.28515625" customWidth="1"/>
    <col min="12948" max="12948" width="7" customWidth="1"/>
    <col min="12949" max="12949" width="30.140625" customWidth="1"/>
    <col min="12950" max="12950" width="6.28515625" customWidth="1"/>
    <col min="12951" max="12951" width="31.42578125" customWidth="1"/>
    <col min="12952" max="12952" width="10.5703125" customWidth="1"/>
    <col min="12953" max="12953" width="10.42578125" customWidth="1"/>
    <col min="12954" max="12954" width="9.5703125" customWidth="1"/>
    <col min="12955" max="12955" width="8.42578125" customWidth="1"/>
    <col min="12956" max="12956" width="9" customWidth="1"/>
    <col min="12957" max="12957" width="10.42578125" customWidth="1"/>
    <col min="12960" max="12960" width="10.28515625" customWidth="1"/>
    <col min="13204" max="13204" width="7" customWidth="1"/>
    <col min="13205" max="13205" width="30.140625" customWidth="1"/>
    <col min="13206" max="13206" width="6.28515625" customWidth="1"/>
    <col min="13207" max="13207" width="31.42578125" customWidth="1"/>
    <col min="13208" max="13208" width="10.5703125" customWidth="1"/>
    <col min="13209" max="13209" width="10.42578125" customWidth="1"/>
    <col min="13210" max="13210" width="9.5703125" customWidth="1"/>
    <col min="13211" max="13211" width="8.42578125" customWidth="1"/>
    <col min="13212" max="13212" width="9" customWidth="1"/>
    <col min="13213" max="13213" width="10.42578125" customWidth="1"/>
    <col min="13216" max="13216" width="10.28515625" customWidth="1"/>
    <col min="13460" max="13460" width="7" customWidth="1"/>
    <col min="13461" max="13461" width="30.140625" customWidth="1"/>
    <col min="13462" max="13462" width="6.28515625" customWidth="1"/>
    <col min="13463" max="13463" width="31.42578125" customWidth="1"/>
    <col min="13464" max="13464" width="10.5703125" customWidth="1"/>
    <col min="13465" max="13465" width="10.42578125" customWidth="1"/>
    <col min="13466" max="13466" width="9.5703125" customWidth="1"/>
    <col min="13467" max="13467" width="8.42578125" customWidth="1"/>
    <col min="13468" max="13468" width="9" customWidth="1"/>
    <col min="13469" max="13469" width="10.42578125" customWidth="1"/>
    <col min="13472" max="13472" width="10.28515625" customWidth="1"/>
    <col min="13716" max="13716" width="7" customWidth="1"/>
    <col min="13717" max="13717" width="30.140625" customWidth="1"/>
    <col min="13718" max="13718" width="6.28515625" customWidth="1"/>
    <col min="13719" max="13719" width="31.42578125" customWidth="1"/>
    <col min="13720" max="13720" width="10.5703125" customWidth="1"/>
    <col min="13721" max="13721" width="10.42578125" customWidth="1"/>
    <col min="13722" max="13722" width="9.5703125" customWidth="1"/>
    <col min="13723" max="13723" width="8.42578125" customWidth="1"/>
    <col min="13724" max="13724" width="9" customWidth="1"/>
    <col min="13725" max="13725" width="10.42578125" customWidth="1"/>
    <col min="13728" max="13728" width="10.28515625" customWidth="1"/>
    <col min="13972" max="13972" width="7" customWidth="1"/>
    <col min="13973" max="13973" width="30.140625" customWidth="1"/>
    <col min="13974" max="13974" width="6.28515625" customWidth="1"/>
    <col min="13975" max="13975" width="31.42578125" customWidth="1"/>
    <col min="13976" max="13976" width="10.5703125" customWidth="1"/>
    <col min="13977" max="13977" width="10.42578125" customWidth="1"/>
    <col min="13978" max="13978" width="9.5703125" customWidth="1"/>
    <col min="13979" max="13979" width="8.42578125" customWidth="1"/>
    <col min="13980" max="13980" width="9" customWidth="1"/>
    <col min="13981" max="13981" width="10.42578125" customWidth="1"/>
    <col min="13984" max="13984" width="10.28515625" customWidth="1"/>
    <col min="14228" max="14228" width="7" customWidth="1"/>
    <col min="14229" max="14229" width="30.140625" customWidth="1"/>
    <col min="14230" max="14230" width="6.28515625" customWidth="1"/>
    <col min="14231" max="14231" width="31.42578125" customWidth="1"/>
    <col min="14232" max="14232" width="10.5703125" customWidth="1"/>
    <col min="14233" max="14233" width="10.42578125" customWidth="1"/>
    <col min="14234" max="14234" width="9.5703125" customWidth="1"/>
    <col min="14235" max="14235" width="8.42578125" customWidth="1"/>
    <col min="14236" max="14236" width="9" customWidth="1"/>
    <col min="14237" max="14237" width="10.42578125" customWidth="1"/>
    <col min="14240" max="14240" width="10.28515625" customWidth="1"/>
    <col min="14484" max="14484" width="7" customWidth="1"/>
    <col min="14485" max="14485" width="30.140625" customWidth="1"/>
    <col min="14486" max="14486" width="6.28515625" customWidth="1"/>
    <col min="14487" max="14487" width="31.42578125" customWidth="1"/>
    <col min="14488" max="14488" width="10.5703125" customWidth="1"/>
    <col min="14489" max="14489" width="10.42578125" customWidth="1"/>
    <col min="14490" max="14490" width="9.5703125" customWidth="1"/>
    <col min="14491" max="14491" width="8.42578125" customWidth="1"/>
    <col min="14492" max="14492" width="9" customWidth="1"/>
    <col min="14493" max="14493" width="10.42578125" customWidth="1"/>
    <col min="14496" max="14496" width="10.28515625" customWidth="1"/>
    <col min="14740" max="14740" width="7" customWidth="1"/>
    <col min="14741" max="14741" width="30.140625" customWidth="1"/>
    <col min="14742" max="14742" width="6.28515625" customWidth="1"/>
    <col min="14743" max="14743" width="31.42578125" customWidth="1"/>
    <col min="14744" max="14744" width="10.5703125" customWidth="1"/>
    <col min="14745" max="14745" width="10.42578125" customWidth="1"/>
    <col min="14746" max="14746" width="9.5703125" customWidth="1"/>
    <col min="14747" max="14747" width="8.42578125" customWidth="1"/>
    <col min="14748" max="14748" width="9" customWidth="1"/>
    <col min="14749" max="14749" width="10.42578125" customWidth="1"/>
    <col min="14752" max="14752" width="10.28515625" customWidth="1"/>
    <col min="14996" max="14996" width="7" customWidth="1"/>
    <col min="14997" max="14997" width="30.140625" customWidth="1"/>
    <col min="14998" max="14998" width="6.28515625" customWidth="1"/>
    <col min="14999" max="14999" width="31.42578125" customWidth="1"/>
    <col min="15000" max="15000" width="10.5703125" customWidth="1"/>
    <col min="15001" max="15001" width="10.42578125" customWidth="1"/>
    <col min="15002" max="15002" width="9.5703125" customWidth="1"/>
    <col min="15003" max="15003" width="8.42578125" customWidth="1"/>
    <col min="15004" max="15004" width="9" customWidth="1"/>
    <col min="15005" max="15005" width="10.42578125" customWidth="1"/>
    <col min="15008" max="15008" width="10.28515625" customWidth="1"/>
    <col min="15252" max="15252" width="7" customWidth="1"/>
    <col min="15253" max="15253" width="30.140625" customWidth="1"/>
    <col min="15254" max="15254" width="6.28515625" customWidth="1"/>
    <col min="15255" max="15255" width="31.42578125" customWidth="1"/>
    <col min="15256" max="15256" width="10.5703125" customWidth="1"/>
    <col min="15257" max="15257" width="10.42578125" customWidth="1"/>
    <col min="15258" max="15258" width="9.5703125" customWidth="1"/>
    <col min="15259" max="15259" width="8.42578125" customWidth="1"/>
    <col min="15260" max="15260" width="9" customWidth="1"/>
    <col min="15261" max="15261" width="10.42578125" customWidth="1"/>
    <col min="15264" max="15264" width="10.28515625" customWidth="1"/>
    <col min="15508" max="15508" width="7" customWidth="1"/>
    <col min="15509" max="15509" width="30.140625" customWidth="1"/>
    <col min="15510" max="15510" width="6.28515625" customWidth="1"/>
    <col min="15511" max="15511" width="31.42578125" customWidth="1"/>
    <col min="15512" max="15512" width="10.5703125" customWidth="1"/>
    <col min="15513" max="15513" width="10.42578125" customWidth="1"/>
    <col min="15514" max="15514" width="9.5703125" customWidth="1"/>
    <col min="15515" max="15515" width="8.42578125" customWidth="1"/>
    <col min="15516" max="15516" width="9" customWidth="1"/>
    <col min="15517" max="15517" width="10.42578125" customWidth="1"/>
    <col min="15520" max="15520" width="10.28515625" customWidth="1"/>
    <col min="15764" max="15764" width="7" customWidth="1"/>
    <col min="15765" max="15765" width="30.140625" customWidth="1"/>
    <col min="15766" max="15766" width="6.28515625" customWidth="1"/>
    <col min="15767" max="15767" width="31.42578125" customWidth="1"/>
    <col min="15768" max="15768" width="10.5703125" customWidth="1"/>
    <col min="15769" max="15769" width="10.42578125" customWidth="1"/>
    <col min="15770" max="15770" width="9.5703125" customWidth="1"/>
    <col min="15771" max="15771" width="8.42578125" customWidth="1"/>
    <col min="15772" max="15772" width="9" customWidth="1"/>
    <col min="15773" max="15773" width="10.42578125" customWidth="1"/>
    <col min="15776" max="15776" width="10.28515625" customWidth="1"/>
    <col min="16020" max="16020" width="7" customWidth="1"/>
    <col min="16021" max="16021" width="30.140625" customWidth="1"/>
    <col min="16022" max="16022" width="6.28515625" customWidth="1"/>
    <col min="16023" max="16023" width="31.42578125" customWidth="1"/>
    <col min="16024" max="16024" width="10.5703125" customWidth="1"/>
    <col min="16025" max="16025" width="10.42578125" customWidth="1"/>
    <col min="16026" max="16026" width="9.5703125" customWidth="1"/>
    <col min="16027" max="16027" width="8.42578125" customWidth="1"/>
    <col min="16028" max="16028" width="9" customWidth="1"/>
    <col min="16029" max="16029" width="10.42578125" customWidth="1"/>
    <col min="16032" max="16032" width="10.28515625" customWidth="1"/>
  </cols>
  <sheetData>
    <row r="1" spans="1:45" ht="15" x14ac:dyDescent="0.25">
      <c r="A1" s="46" t="s">
        <v>2</v>
      </c>
      <c r="B1" s="46"/>
      <c r="C1" s="38"/>
      <c r="D1" s="46"/>
      <c r="E1" s="46"/>
      <c r="F1" s="61"/>
      <c r="G1" s="863" t="s">
        <v>766</v>
      </c>
      <c r="H1" s="61"/>
      <c r="AC1" s="48"/>
      <c r="AD1" s="48"/>
      <c r="AE1" s="48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15" x14ac:dyDescent="0.25">
      <c r="A2" s="46" t="s">
        <v>3</v>
      </c>
      <c r="B2" s="46"/>
      <c r="C2" s="38"/>
      <c r="D2" s="46"/>
      <c r="E2" s="46"/>
      <c r="F2" s="61"/>
      <c r="G2" s="61"/>
      <c r="H2" s="61"/>
    </row>
    <row r="3" spans="1:45" ht="12.75" customHeight="1" x14ac:dyDescent="0.25">
      <c r="A3" s="996" t="s">
        <v>4</v>
      </c>
      <c r="B3" s="996"/>
      <c r="C3" s="996"/>
      <c r="D3" s="996"/>
      <c r="E3" s="996"/>
      <c r="F3" s="61"/>
      <c r="G3" s="61"/>
      <c r="H3" s="61"/>
      <c r="AD3" s="380"/>
    </row>
    <row r="4" spans="1:45" ht="15" x14ac:dyDescent="0.25">
      <c r="A4" s="60"/>
      <c r="B4" s="46"/>
      <c r="C4" s="46"/>
      <c r="D4" s="46"/>
      <c r="E4" s="46"/>
      <c r="F4" s="61"/>
      <c r="G4" s="61"/>
      <c r="H4" s="61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P5" s="916"/>
      <c r="Q5" s="851" t="s">
        <v>815</v>
      </c>
      <c r="R5" s="845"/>
      <c r="S5" s="845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916"/>
      <c r="AG5" s="851" t="s">
        <v>815</v>
      </c>
      <c r="AH5" s="845"/>
      <c r="AI5" s="50"/>
      <c r="AJ5" s="50"/>
      <c r="AK5" s="50"/>
      <c r="AL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9.5" customHeight="1" thickBot="1" x14ac:dyDescent="0.3">
      <c r="A7" s="60"/>
      <c r="B7" s="5"/>
      <c r="D7" s="9"/>
      <c r="E7" s="5"/>
      <c r="F7" s="61"/>
      <c r="G7" s="61"/>
      <c r="H7" s="61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87"/>
      <c r="B8" s="62"/>
      <c r="C8" s="62"/>
      <c r="D8" s="62"/>
      <c r="E8" s="62"/>
      <c r="F8" s="62"/>
      <c r="G8" s="62"/>
      <c r="H8" s="62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19.5" customHeight="1" thickBot="1" x14ac:dyDescent="0.25">
      <c r="A9" s="10" t="s">
        <v>746</v>
      </c>
      <c r="D9" s="10"/>
      <c r="F9" s="51"/>
      <c r="G9" s="52"/>
      <c r="H9" s="52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172" t="s">
        <v>725</v>
      </c>
      <c r="I11" s="533" t="s">
        <v>254</v>
      </c>
      <c r="J11" s="532" t="s">
        <v>255</v>
      </c>
      <c r="K11" s="532" t="s">
        <v>260</v>
      </c>
      <c r="L11" s="532" t="s">
        <v>256</v>
      </c>
      <c r="M11" s="532" t="s">
        <v>257</v>
      </c>
      <c r="N11" s="532" t="s">
        <v>803</v>
      </c>
      <c r="O11" s="606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ht="14.1" customHeight="1" x14ac:dyDescent="0.2">
      <c r="A12" s="161">
        <v>1</v>
      </c>
      <c r="B12" s="162">
        <v>3440</v>
      </c>
      <c r="C12" s="162">
        <v>600078078</v>
      </c>
      <c r="D12" s="162">
        <v>72743441</v>
      </c>
      <c r="E12" s="163" t="s">
        <v>81</v>
      </c>
      <c r="F12" s="162">
        <v>3111</v>
      </c>
      <c r="G12" s="164" t="s">
        <v>277</v>
      </c>
      <c r="H12" s="756" t="s">
        <v>262</v>
      </c>
      <c r="I12" s="579">
        <v>10317566</v>
      </c>
      <c r="J12" s="521">
        <v>7534871</v>
      </c>
      <c r="K12" s="521">
        <v>120000</v>
      </c>
      <c r="L12" s="745">
        <v>2587346</v>
      </c>
      <c r="M12" s="745">
        <v>75349</v>
      </c>
      <c r="N12" s="745">
        <v>0</v>
      </c>
      <c r="O12" s="681">
        <v>12.4</v>
      </c>
      <c r="P12" s="572">
        <f>W12*-1</f>
        <v>-80000</v>
      </c>
      <c r="Q12" s="573">
        <v>0</v>
      </c>
      <c r="R12" s="573">
        <v>0</v>
      </c>
      <c r="S12" s="573">
        <v>0</v>
      </c>
      <c r="T12" s="573">
        <v>0</v>
      </c>
      <c r="U12" s="573">
        <v>0</v>
      </c>
      <c r="V12" s="573">
        <f>P12+Q12+R12+S12+T12+U12</f>
        <v>-80000</v>
      </c>
      <c r="W12" s="573">
        <v>80000</v>
      </c>
      <c r="X12" s="573">
        <v>0</v>
      </c>
      <c r="Y12" s="573">
        <v>0</v>
      </c>
      <c r="Z12" s="573">
        <f>W12+X12+Y12</f>
        <v>80000</v>
      </c>
      <c r="AA12" s="573">
        <f>V12+Z12</f>
        <v>0</v>
      </c>
      <c r="AB12" s="575">
        <f>ROUND((V12+Z12)*33.8%,0)</f>
        <v>0</v>
      </c>
      <c r="AC12" s="575">
        <f>ROUND(V12*1%,0)</f>
        <v>-800</v>
      </c>
      <c r="AD12" s="573">
        <v>0</v>
      </c>
      <c r="AE12" s="605">
        <f>AA12+AB12+AC12+AD12</f>
        <v>-800</v>
      </c>
      <c r="AF12" s="607">
        <v>0</v>
      </c>
      <c r="AG12" s="522">
        <v>0</v>
      </c>
      <c r="AH12" s="522">
        <v>0</v>
      </c>
      <c r="AI12" s="522">
        <v>0</v>
      </c>
      <c r="AJ12" s="522">
        <v>0</v>
      </c>
      <c r="AK12" s="522">
        <v>0</v>
      </c>
      <c r="AL12" s="608">
        <f>SUM(AF12:AK12)</f>
        <v>0</v>
      </c>
      <c r="AM12" s="572">
        <f>I12+AE12</f>
        <v>10316766</v>
      </c>
      <c r="AN12" s="573">
        <f>J12+V12</f>
        <v>7454871</v>
      </c>
      <c r="AO12" s="573">
        <f>K12+Z12</f>
        <v>200000</v>
      </c>
      <c r="AP12" s="573">
        <f t="shared" ref="AP12:AR13" si="0">L12+AB12</f>
        <v>2587346</v>
      </c>
      <c r="AQ12" s="573">
        <f t="shared" si="0"/>
        <v>74549</v>
      </c>
      <c r="AR12" s="573">
        <f t="shared" si="0"/>
        <v>0</v>
      </c>
      <c r="AS12" s="576">
        <f>O12+AL12</f>
        <v>12.4</v>
      </c>
    </row>
    <row r="13" spans="1:45" x14ac:dyDescent="0.2">
      <c r="A13" s="136">
        <v>1</v>
      </c>
      <c r="B13" s="137">
        <v>3440</v>
      </c>
      <c r="C13" s="137">
        <v>600078078</v>
      </c>
      <c r="D13" s="137">
        <v>72743441</v>
      </c>
      <c r="E13" s="135" t="s">
        <v>81</v>
      </c>
      <c r="F13" s="137">
        <v>3111</v>
      </c>
      <c r="G13" s="138" t="s">
        <v>278</v>
      </c>
      <c r="H13" s="558" t="s">
        <v>263</v>
      </c>
      <c r="I13" s="580">
        <v>1277943</v>
      </c>
      <c r="J13" s="490">
        <v>948029</v>
      </c>
      <c r="K13" s="554">
        <v>0</v>
      </c>
      <c r="L13" s="431">
        <v>320434</v>
      </c>
      <c r="M13" s="431">
        <v>9480</v>
      </c>
      <c r="N13" s="431">
        <v>0</v>
      </c>
      <c r="O13" s="614">
        <v>2.39</v>
      </c>
      <c r="P13" s="440">
        <f>W13*-1</f>
        <v>0</v>
      </c>
      <c r="Q13" s="325">
        <v>0</v>
      </c>
      <c r="R13" s="325">
        <v>0</v>
      </c>
      <c r="S13" s="325">
        <v>0</v>
      </c>
      <c r="T13" s="325">
        <v>0</v>
      </c>
      <c r="U13" s="325">
        <v>0</v>
      </c>
      <c r="V13" s="492">
        <f>P13+Q13+R13+S13+T13+U13</f>
        <v>0</v>
      </c>
      <c r="W13" s="325">
        <v>0</v>
      </c>
      <c r="X13" s="325">
        <v>0</v>
      </c>
      <c r="Y13" s="325">
        <v>0</v>
      </c>
      <c r="Z13" s="492">
        <f>W13+X13+Y13</f>
        <v>0</v>
      </c>
      <c r="AA13" s="492">
        <f>V13+Z13</f>
        <v>0</v>
      </c>
      <c r="AB13" s="494">
        <f>ROUND((V13+Z13)*33.8%,0)</f>
        <v>0</v>
      </c>
      <c r="AC13" s="55">
        <f>ROUND(V13*1%,0)</f>
        <v>0</v>
      </c>
      <c r="AD13" s="492">
        <v>0</v>
      </c>
      <c r="AE13" s="753">
        <f>AA13+AB13+AC13+AD13</f>
        <v>0</v>
      </c>
      <c r="AF13" s="688">
        <v>0</v>
      </c>
      <c r="AG13" s="326">
        <v>0</v>
      </c>
      <c r="AH13" s="326">
        <v>0</v>
      </c>
      <c r="AI13" s="326">
        <v>0</v>
      </c>
      <c r="AJ13" s="326">
        <v>0</v>
      </c>
      <c r="AK13" s="326">
        <v>0</v>
      </c>
      <c r="AL13" s="609">
        <f>SUM(AF13:AK13)</f>
        <v>0</v>
      </c>
      <c r="AM13" s="493">
        <f>I13+AE13</f>
        <v>1277943</v>
      </c>
      <c r="AN13" s="492">
        <f>J13+V13</f>
        <v>948029</v>
      </c>
      <c r="AO13" s="573">
        <f>K13+Z13</f>
        <v>0</v>
      </c>
      <c r="AP13" s="492">
        <f t="shared" si="0"/>
        <v>320434</v>
      </c>
      <c r="AQ13" s="492">
        <f t="shared" si="0"/>
        <v>9480</v>
      </c>
      <c r="AR13" s="492">
        <f t="shared" si="0"/>
        <v>0</v>
      </c>
      <c r="AS13" s="491">
        <f>O13+AL13</f>
        <v>2.39</v>
      </c>
    </row>
    <row r="14" spans="1:45" x14ac:dyDescent="0.2">
      <c r="A14" s="107">
        <v>1</v>
      </c>
      <c r="B14" s="15">
        <v>3440</v>
      </c>
      <c r="C14" s="15">
        <v>600078078</v>
      </c>
      <c r="D14" s="15">
        <v>72743441</v>
      </c>
      <c r="E14" s="116" t="s">
        <v>82</v>
      </c>
      <c r="F14" s="15"/>
      <c r="G14" s="106"/>
      <c r="H14" s="555"/>
      <c r="I14" s="757">
        <v>11595509</v>
      </c>
      <c r="J14" s="341">
        <v>8482900</v>
      </c>
      <c r="K14" s="341">
        <v>120000</v>
      </c>
      <c r="L14" s="341">
        <v>2907780</v>
      </c>
      <c r="M14" s="341">
        <v>84829</v>
      </c>
      <c r="N14" s="341">
        <v>0</v>
      </c>
      <c r="O14" s="36">
        <v>14.790000000000001</v>
      </c>
      <c r="P14" s="345">
        <f t="shared" ref="P14:AS14" si="1">SUM(P12:P13)</f>
        <v>-80000</v>
      </c>
      <c r="Q14" s="341">
        <f t="shared" si="1"/>
        <v>0</v>
      </c>
      <c r="R14" s="341">
        <f t="shared" si="1"/>
        <v>0</v>
      </c>
      <c r="S14" s="341">
        <f t="shared" si="1"/>
        <v>0</v>
      </c>
      <c r="T14" s="341">
        <f t="shared" si="1"/>
        <v>0</v>
      </c>
      <c r="U14" s="341">
        <f t="shared" si="1"/>
        <v>0</v>
      </c>
      <c r="V14" s="341">
        <f t="shared" si="1"/>
        <v>-80000</v>
      </c>
      <c r="W14" s="341">
        <f t="shared" si="1"/>
        <v>80000</v>
      </c>
      <c r="X14" s="341">
        <f t="shared" si="1"/>
        <v>0</v>
      </c>
      <c r="Y14" s="341">
        <f t="shared" si="1"/>
        <v>0</v>
      </c>
      <c r="Z14" s="341">
        <f t="shared" si="1"/>
        <v>80000</v>
      </c>
      <c r="AA14" s="341">
        <f t="shared" si="1"/>
        <v>0</v>
      </c>
      <c r="AB14" s="341">
        <f t="shared" si="1"/>
        <v>0</v>
      </c>
      <c r="AC14" s="341">
        <f t="shared" si="1"/>
        <v>-800</v>
      </c>
      <c r="AD14" s="341">
        <f t="shared" si="1"/>
        <v>0</v>
      </c>
      <c r="AE14" s="762">
        <f t="shared" si="1"/>
        <v>-800</v>
      </c>
      <c r="AF14" s="766">
        <f t="shared" si="1"/>
        <v>0</v>
      </c>
      <c r="AG14" s="342">
        <f t="shared" si="1"/>
        <v>0</v>
      </c>
      <c r="AH14" s="342">
        <f t="shared" si="1"/>
        <v>0</v>
      </c>
      <c r="AI14" s="342">
        <f t="shared" si="1"/>
        <v>0</v>
      </c>
      <c r="AJ14" s="342">
        <f t="shared" si="1"/>
        <v>0</v>
      </c>
      <c r="AK14" s="342">
        <f t="shared" si="1"/>
        <v>0</v>
      </c>
      <c r="AL14" s="36">
        <f t="shared" si="1"/>
        <v>0</v>
      </c>
      <c r="AM14" s="345">
        <f t="shared" si="1"/>
        <v>11594709</v>
      </c>
      <c r="AN14" s="341">
        <f t="shared" si="1"/>
        <v>8402900</v>
      </c>
      <c r="AO14" s="341">
        <f t="shared" si="1"/>
        <v>200000</v>
      </c>
      <c r="AP14" s="341">
        <f t="shared" si="1"/>
        <v>2907780</v>
      </c>
      <c r="AQ14" s="341">
        <f t="shared" si="1"/>
        <v>84029</v>
      </c>
      <c r="AR14" s="341">
        <f t="shared" si="1"/>
        <v>0</v>
      </c>
      <c r="AS14" s="342">
        <f t="shared" si="1"/>
        <v>14.790000000000001</v>
      </c>
    </row>
    <row r="15" spans="1:45" x14ac:dyDescent="0.2">
      <c r="A15" s="136">
        <v>2</v>
      </c>
      <c r="B15" s="137">
        <v>3458</v>
      </c>
      <c r="C15" s="137">
        <v>600029069</v>
      </c>
      <c r="D15" s="137">
        <v>75121557</v>
      </c>
      <c r="E15" s="135" t="s">
        <v>83</v>
      </c>
      <c r="F15" s="137">
        <v>3233</v>
      </c>
      <c r="G15" s="138" t="s">
        <v>283</v>
      </c>
      <c r="H15" s="558" t="s">
        <v>263</v>
      </c>
      <c r="I15" s="610">
        <v>1965226</v>
      </c>
      <c r="J15" s="554">
        <v>1398328</v>
      </c>
      <c r="K15" s="554">
        <v>60000</v>
      </c>
      <c r="L15" s="431">
        <v>492915</v>
      </c>
      <c r="M15" s="431">
        <v>13983</v>
      </c>
      <c r="N15" s="431">
        <v>0</v>
      </c>
      <c r="O15" s="611">
        <v>2.35</v>
      </c>
      <c r="P15" s="445">
        <f>W15*-1</f>
        <v>-40000</v>
      </c>
      <c r="Q15" s="325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>P15+Q15+R15+S15+T15+U15</f>
        <v>-40000</v>
      </c>
      <c r="W15" s="325">
        <v>40000</v>
      </c>
      <c r="X15" s="325">
        <v>0</v>
      </c>
      <c r="Y15" s="325">
        <v>0</v>
      </c>
      <c r="Z15" s="492">
        <f>W15+X15+Y15</f>
        <v>40000</v>
      </c>
      <c r="AA15" s="492">
        <f>V15+Z15</f>
        <v>0</v>
      </c>
      <c r="AB15" s="494">
        <f>ROUND((V15+Z15)*33.8%,0)</f>
        <v>0</v>
      </c>
      <c r="AC15" s="55">
        <f>ROUND(V15*1%,0)</f>
        <v>-400</v>
      </c>
      <c r="AD15" s="492">
        <v>0</v>
      </c>
      <c r="AE15" s="753">
        <f>AA15+AB15+AC15+AD15</f>
        <v>-400</v>
      </c>
      <c r="AF15" s="688">
        <v>-7.0000000000000007E-2</v>
      </c>
      <c r="AG15" s="326">
        <v>0</v>
      </c>
      <c r="AH15" s="326">
        <v>0</v>
      </c>
      <c r="AI15" s="326">
        <v>0</v>
      </c>
      <c r="AJ15" s="326">
        <v>0</v>
      </c>
      <c r="AK15" s="326">
        <v>0</v>
      </c>
      <c r="AL15" s="609">
        <f>SUM(AF15:AK15)</f>
        <v>-7.0000000000000007E-2</v>
      </c>
      <c r="AM15" s="493">
        <f>I15+AE15</f>
        <v>1964826</v>
      </c>
      <c r="AN15" s="492">
        <f>J15+V15</f>
        <v>1358328</v>
      </c>
      <c r="AO15" s="573">
        <f>K15+Z15</f>
        <v>100000</v>
      </c>
      <c r="AP15" s="492">
        <f>L15+AB15</f>
        <v>492915</v>
      </c>
      <c r="AQ15" s="492">
        <f>M15+AC15</f>
        <v>13583</v>
      </c>
      <c r="AR15" s="492">
        <f>N15+AD15</f>
        <v>0</v>
      </c>
      <c r="AS15" s="491">
        <f>O15+AL15</f>
        <v>2.2800000000000002</v>
      </c>
    </row>
    <row r="16" spans="1:45" x14ac:dyDescent="0.2">
      <c r="A16" s="107">
        <v>2</v>
      </c>
      <c r="B16" s="15">
        <v>3458</v>
      </c>
      <c r="C16" s="15">
        <v>600029069</v>
      </c>
      <c r="D16" s="15">
        <v>75121557</v>
      </c>
      <c r="E16" s="116" t="s">
        <v>84</v>
      </c>
      <c r="F16" s="15"/>
      <c r="G16" s="106"/>
      <c r="H16" s="555"/>
      <c r="I16" s="757">
        <v>1965226</v>
      </c>
      <c r="J16" s="341">
        <v>1398328</v>
      </c>
      <c r="K16" s="341">
        <v>60000</v>
      </c>
      <c r="L16" s="341">
        <v>492915</v>
      </c>
      <c r="M16" s="341">
        <v>13983</v>
      </c>
      <c r="N16" s="341">
        <v>0</v>
      </c>
      <c r="O16" s="36">
        <v>2.35</v>
      </c>
      <c r="P16" s="345">
        <f t="shared" ref="P16:AS16" si="2">SUM(P15)</f>
        <v>-40000</v>
      </c>
      <c r="Q16" s="341">
        <f t="shared" si="2"/>
        <v>0</v>
      </c>
      <c r="R16" s="341">
        <f t="shared" si="2"/>
        <v>0</v>
      </c>
      <c r="S16" s="341">
        <f t="shared" si="2"/>
        <v>0</v>
      </c>
      <c r="T16" s="341">
        <f t="shared" si="2"/>
        <v>0</v>
      </c>
      <c r="U16" s="341">
        <f t="shared" si="2"/>
        <v>0</v>
      </c>
      <c r="V16" s="341">
        <f t="shared" si="2"/>
        <v>-40000</v>
      </c>
      <c r="W16" s="341">
        <f t="shared" si="2"/>
        <v>40000</v>
      </c>
      <c r="X16" s="341">
        <f t="shared" si="2"/>
        <v>0</v>
      </c>
      <c r="Y16" s="341">
        <f t="shared" si="2"/>
        <v>0</v>
      </c>
      <c r="Z16" s="341">
        <f t="shared" si="2"/>
        <v>40000</v>
      </c>
      <c r="AA16" s="341">
        <f t="shared" si="2"/>
        <v>0</v>
      </c>
      <c r="AB16" s="341">
        <f t="shared" si="2"/>
        <v>0</v>
      </c>
      <c r="AC16" s="341">
        <f t="shared" si="2"/>
        <v>-400</v>
      </c>
      <c r="AD16" s="341">
        <f t="shared" si="2"/>
        <v>0</v>
      </c>
      <c r="AE16" s="762">
        <f t="shared" si="2"/>
        <v>-400</v>
      </c>
      <c r="AF16" s="766">
        <f t="shared" si="2"/>
        <v>-7.0000000000000007E-2</v>
      </c>
      <c r="AG16" s="342">
        <f t="shared" si="2"/>
        <v>0</v>
      </c>
      <c r="AH16" s="342">
        <f t="shared" si="2"/>
        <v>0</v>
      </c>
      <c r="AI16" s="342">
        <f t="shared" si="2"/>
        <v>0</v>
      </c>
      <c r="AJ16" s="342">
        <f t="shared" si="2"/>
        <v>0</v>
      </c>
      <c r="AK16" s="342">
        <f t="shared" si="2"/>
        <v>0</v>
      </c>
      <c r="AL16" s="36">
        <f t="shared" si="2"/>
        <v>-7.0000000000000007E-2</v>
      </c>
      <c r="AM16" s="345">
        <f t="shared" si="2"/>
        <v>1964826</v>
      </c>
      <c r="AN16" s="341">
        <f t="shared" si="2"/>
        <v>1358328</v>
      </c>
      <c r="AO16" s="341">
        <f t="shared" si="2"/>
        <v>100000</v>
      </c>
      <c r="AP16" s="341">
        <f t="shared" si="2"/>
        <v>492915</v>
      </c>
      <c r="AQ16" s="341">
        <f t="shared" si="2"/>
        <v>13583</v>
      </c>
      <c r="AR16" s="341">
        <f t="shared" si="2"/>
        <v>0</v>
      </c>
      <c r="AS16" s="342">
        <f t="shared" si="2"/>
        <v>2.2800000000000002</v>
      </c>
    </row>
    <row r="17" spans="1:45" x14ac:dyDescent="0.2">
      <c r="A17" s="136">
        <v>3</v>
      </c>
      <c r="B17" s="137">
        <v>3439</v>
      </c>
      <c r="C17" s="137">
        <v>600010473</v>
      </c>
      <c r="D17" s="137">
        <v>43256791</v>
      </c>
      <c r="E17" s="135" t="s">
        <v>740</v>
      </c>
      <c r="F17" s="137">
        <v>3113</v>
      </c>
      <c r="G17" s="138" t="s">
        <v>280</v>
      </c>
      <c r="H17" s="558" t="s">
        <v>262</v>
      </c>
      <c r="I17" s="610">
        <v>25150318</v>
      </c>
      <c r="J17" s="554">
        <v>18580084</v>
      </c>
      <c r="K17" s="554">
        <v>78000</v>
      </c>
      <c r="L17" s="431">
        <v>6306433</v>
      </c>
      <c r="M17" s="431">
        <v>185801</v>
      </c>
      <c r="N17" s="431">
        <v>0</v>
      </c>
      <c r="O17" s="611">
        <v>28.189999999999998</v>
      </c>
      <c r="P17" s="445">
        <f>W17*-1</f>
        <v>-52000</v>
      </c>
      <c r="Q17" s="325">
        <v>0</v>
      </c>
      <c r="R17" s="325">
        <v>0</v>
      </c>
      <c r="S17" s="325">
        <v>0</v>
      </c>
      <c r="T17" s="325">
        <v>0</v>
      </c>
      <c r="U17" s="325">
        <v>0</v>
      </c>
      <c r="V17" s="492">
        <f t="shared" ref="V17:V21" si="3">P17+Q17+R17+S17+T17+U17</f>
        <v>-52000</v>
      </c>
      <c r="W17" s="325">
        <v>52000</v>
      </c>
      <c r="X17" s="325">
        <v>0</v>
      </c>
      <c r="Y17" s="325">
        <v>0</v>
      </c>
      <c r="Z17" s="492">
        <f t="shared" ref="Z17:Z21" si="4">W17+X17+Y17</f>
        <v>52000</v>
      </c>
      <c r="AA17" s="492">
        <f t="shared" ref="AA17:AA21" si="5">V17+Z17</f>
        <v>0</v>
      </c>
      <c r="AB17" s="494">
        <f t="shared" ref="AB17:AB21" si="6">ROUND((V17+Z17)*33.8%,0)</f>
        <v>0</v>
      </c>
      <c r="AC17" s="55">
        <f>ROUND(V17*1%,0)</f>
        <v>-520</v>
      </c>
      <c r="AD17" s="492">
        <v>0</v>
      </c>
      <c r="AE17" s="753">
        <f t="shared" ref="AE17:AE21" si="7">AA17+AB17+AC17+AD17</f>
        <v>-520</v>
      </c>
      <c r="AF17" s="688">
        <v>0</v>
      </c>
      <c r="AG17" s="326">
        <v>0</v>
      </c>
      <c r="AH17" s="326">
        <v>0</v>
      </c>
      <c r="AI17" s="326">
        <v>0</v>
      </c>
      <c r="AJ17" s="326">
        <v>0</v>
      </c>
      <c r="AK17" s="326">
        <v>0</v>
      </c>
      <c r="AL17" s="609">
        <f t="shared" ref="AL17:AL21" si="8">SUM(AF17:AK17)</f>
        <v>0</v>
      </c>
      <c r="AM17" s="493">
        <f>I17+AE17</f>
        <v>25149798</v>
      </c>
      <c r="AN17" s="492">
        <f>J17+V17</f>
        <v>18528084</v>
      </c>
      <c r="AO17" s="573">
        <f t="shared" ref="AO17:AO21" si="9">K17+Z17</f>
        <v>130000</v>
      </c>
      <c r="AP17" s="492">
        <f t="shared" ref="AP17:AR21" si="10">L17+AB17</f>
        <v>6306433</v>
      </c>
      <c r="AQ17" s="492">
        <f t="shared" si="10"/>
        <v>185281</v>
      </c>
      <c r="AR17" s="492">
        <f t="shared" si="10"/>
        <v>0</v>
      </c>
      <c r="AS17" s="491">
        <f t="shared" ref="AS17:AS21" si="11">O17+AL17</f>
        <v>28.189999999999998</v>
      </c>
    </row>
    <row r="18" spans="1:45" x14ac:dyDescent="0.2">
      <c r="A18" s="136">
        <v>3</v>
      </c>
      <c r="B18" s="137">
        <v>3439</v>
      </c>
      <c r="C18" s="137">
        <v>600010473</v>
      </c>
      <c r="D18" s="137">
        <v>43256791</v>
      </c>
      <c r="E18" s="135" t="s">
        <v>740</v>
      </c>
      <c r="F18" s="137">
        <v>3113</v>
      </c>
      <c r="G18" s="138" t="s">
        <v>799</v>
      </c>
      <c r="H18" s="558" t="s">
        <v>262</v>
      </c>
      <c r="I18" s="610">
        <v>341548</v>
      </c>
      <c r="J18" s="554">
        <v>253374</v>
      </c>
      <c r="K18" s="554">
        <v>0</v>
      </c>
      <c r="L18" s="431">
        <v>85640</v>
      </c>
      <c r="M18" s="431">
        <v>2534</v>
      </c>
      <c r="N18" s="431">
        <v>0</v>
      </c>
      <c r="O18" s="611">
        <v>0.5</v>
      </c>
      <c r="P18" s="445">
        <f>W18*-1</f>
        <v>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 t="shared" si="3"/>
        <v>0</v>
      </c>
      <c r="W18" s="325">
        <v>0</v>
      </c>
      <c r="X18" s="325">
        <v>0</v>
      </c>
      <c r="Y18" s="325">
        <v>0</v>
      </c>
      <c r="Z18" s="492">
        <f t="shared" si="4"/>
        <v>0</v>
      </c>
      <c r="AA18" s="492">
        <f t="shared" si="5"/>
        <v>0</v>
      </c>
      <c r="AB18" s="494">
        <f t="shared" si="6"/>
        <v>0</v>
      </c>
      <c r="AC18" s="55">
        <f>ROUND(V18*1%,0)</f>
        <v>0</v>
      </c>
      <c r="AD18" s="492">
        <v>0</v>
      </c>
      <c r="AE18" s="753">
        <f t="shared" si="7"/>
        <v>0</v>
      </c>
      <c r="AF18" s="688">
        <v>0</v>
      </c>
      <c r="AG18" s="326">
        <v>0</v>
      </c>
      <c r="AH18" s="326">
        <v>0</v>
      </c>
      <c r="AI18" s="326">
        <v>0</v>
      </c>
      <c r="AJ18" s="326">
        <v>0</v>
      </c>
      <c r="AK18" s="326">
        <v>0</v>
      </c>
      <c r="AL18" s="609">
        <f t="shared" si="8"/>
        <v>0</v>
      </c>
      <c r="AM18" s="493">
        <f>I18+AE18</f>
        <v>341548</v>
      </c>
      <c r="AN18" s="492">
        <f>J18+V18</f>
        <v>253374</v>
      </c>
      <c r="AO18" s="573">
        <f t="shared" si="9"/>
        <v>0</v>
      </c>
      <c r="AP18" s="492">
        <f t="shared" si="10"/>
        <v>85640</v>
      </c>
      <c r="AQ18" s="492">
        <f t="shared" si="10"/>
        <v>2534</v>
      </c>
      <c r="AR18" s="492">
        <f t="shared" si="10"/>
        <v>0</v>
      </c>
      <c r="AS18" s="491">
        <f t="shared" si="11"/>
        <v>0.5</v>
      </c>
    </row>
    <row r="19" spans="1:45" x14ac:dyDescent="0.2">
      <c r="A19" s="136">
        <v>3</v>
      </c>
      <c r="B19" s="137">
        <v>3439</v>
      </c>
      <c r="C19" s="137">
        <v>600010473</v>
      </c>
      <c r="D19" s="137">
        <v>43256791</v>
      </c>
      <c r="E19" s="135" t="s">
        <v>740</v>
      </c>
      <c r="F19" s="137">
        <v>3113</v>
      </c>
      <c r="G19" s="138" t="s">
        <v>278</v>
      </c>
      <c r="H19" s="558" t="s">
        <v>263</v>
      </c>
      <c r="I19" s="580">
        <v>8634090</v>
      </c>
      <c r="J19" s="490">
        <v>6405111</v>
      </c>
      <c r="K19" s="554">
        <v>0</v>
      </c>
      <c r="L19" s="431">
        <v>2164928</v>
      </c>
      <c r="M19" s="431">
        <v>64051</v>
      </c>
      <c r="N19" s="431">
        <v>0</v>
      </c>
      <c r="O19" s="614">
        <v>15.77</v>
      </c>
      <c r="P19" s="440">
        <f>W19*-1</f>
        <v>0</v>
      </c>
      <c r="Q19" s="325">
        <f>558868+41341</f>
        <v>600209</v>
      </c>
      <c r="R19" s="325">
        <v>0</v>
      </c>
      <c r="S19" s="325">
        <v>0</v>
      </c>
      <c r="T19" s="325">
        <v>0</v>
      </c>
      <c r="U19" s="325">
        <v>0</v>
      </c>
      <c r="V19" s="492">
        <f t="shared" si="3"/>
        <v>600209</v>
      </c>
      <c r="W19" s="325">
        <v>0</v>
      </c>
      <c r="X19" s="325">
        <v>0</v>
      </c>
      <c r="Y19" s="325">
        <v>0</v>
      </c>
      <c r="Z19" s="492">
        <f t="shared" si="4"/>
        <v>0</v>
      </c>
      <c r="AA19" s="492">
        <f t="shared" si="5"/>
        <v>600209</v>
      </c>
      <c r="AB19" s="494">
        <f t="shared" si="6"/>
        <v>202871</v>
      </c>
      <c r="AC19" s="55">
        <f>ROUND(V19*1%,0)</f>
        <v>6002</v>
      </c>
      <c r="AD19" s="492">
        <v>0</v>
      </c>
      <c r="AE19" s="753">
        <f t="shared" si="7"/>
        <v>809082</v>
      </c>
      <c r="AF19" s="688">
        <v>0</v>
      </c>
      <c r="AG19" s="326">
        <f>1.24+0.11</f>
        <v>1.35</v>
      </c>
      <c r="AH19" s="326">
        <v>0</v>
      </c>
      <c r="AI19" s="326">
        <v>0</v>
      </c>
      <c r="AJ19" s="326">
        <v>0</v>
      </c>
      <c r="AK19" s="326">
        <v>0</v>
      </c>
      <c r="AL19" s="609">
        <f t="shared" si="8"/>
        <v>1.35</v>
      </c>
      <c r="AM19" s="493">
        <f>I19+AE19</f>
        <v>9443172</v>
      </c>
      <c r="AN19" s="492">
        <f>J19+V19</f>
        <v>7005320</v>
      </c>
      <c r="AO19" s="573">
        <f t="shared" si="9"/>
        <v>0</v>
      </c>
      <c r="AP19" s="492">
        <f t="shared" si="10"/>
        <v>2367799</v>
      </c>
      <c r="AQ19" s="492">
        <f t="shared" si="10"/>
        <v>70053</v>
      </c>
      <c r="AR19" s="492">
        <f t="shared" si="10"/>
        <v>0</v>
      </c>
      <c r="AS19" s="491">
        <f t="shared" si="11"/>
        <v>17.12</v>
      </c>
    </row>
    <row r="20" spans="1:45" x14ac:dyDescent="0.2">
      <c r="A20" s="136">
        <v>3</v>
      </c>
      <c r="B20" s="137">
        <v>3439</v>
      </c>
      <c r="C20" s="137">
        <v>600010473</v>
      </c>
      <c r="D20" s="137">
        <v>43256791</v>
      </c>
      <c r="E20" s="135" t="s">
        <v>740</v>
      </c>
      <c r="F20" s="137">
        <v>3143</v>
      </c>
      <c r="G20" s="138" t="s">
        <v>795</v>
      </c>
      <c r="H20" s="157" t="s">
        <v>262</v>
      </c>
      <c r="I20" s="580">
        <v>3625083</v>
      </c>
      <c r="J20" s="490">
        <v>2612911</v>
      </c>
      <c r="K20" s="554">
        <v>76890</v>
      </c>
      <c r="L20" s="431">
        <v>909153</v>
      </c>
      <c r="M20" s="431">
        <v>26129</v>
      </c>
      <c r="N20" s="431">
        <v>0</v>
      </c>
      <c r="O20" s="614">
        <v>5.03</v>
      </c>
      <c r="P20" s="440">
        <f>W20*-1</f>
        <v>-6000</v>
      </c>
      <c r="Q20" s="325">
        <v>0</v>
      </c>
      <c r="R20" s="325">
        <v>0</v>
      </c>
      <c r="S20" s="325">
        <v>0</v>
      </c>
      <c r="T20" s="325">
        <v>0</v>
      </c>
      <c r="U20" s="325">
        <v>0</v>
      </c>
      <c r="V20" s="492">
        <f t="shared" si="3"/>
        <v>-6000</v>
      </c>
      <c r="W20" s="325">
        <v>6000</v>
      </c>
      <c r="X20" s="325">
        <v>0</v>
      </c>
      <c r="Y20" s="325">
        <v>0</v>
      </c>
      <c r="Z20" s="492">
        <f t="shared" si="4"/>
        <v>6000</v>
      </c>
      <c r="AA20" s="492">
        <f t="shared" si="5"/>
        <v>0</v>
      </c>
      <c r="AB20" s="494">
        <f t="shared" si="6"/>
        <v>0</v>
      </c>
      <c r="AC20" s="55">
        <f>ROUND(V20*1%,0)</f>
        <v>-60</v>
      </c>
      <c r="AD20" s="492">
        <v>0</v>
      </c>
      <c r="AE20" s="753">
        <f t="shared" si="7"/>
        <v>-60</v>
      </c>
      <c r="AF20" s="688">
        <v>0</v>
      </c>
      <c r="AG20" s="326">
        <v>0</v>
      </c>
      <c r="AH20" s="326">
        <v>0</v>
      </c>
      <c r="AI20" s="326">
        <v>0</v>
      </c>
      <c r="AJ20" s="326">
        <v>0</v>
      </c>
      <c r="AK20" s="326">
        <v>0</v>
      </c>
      <c r="AL20" s="609">
        <f t="shared" si="8"/>
        <v>0</v>
      </c>
      <c r="AM20" s="493">
        <f>I20+AE20</f>
        <v>3625023</v>
      </c>
      <c r="AN20" s="492">
        <f>J20+V20</f>
        <v>2606911</v>
      </c>
      <c r="AO20" s="573">
        <f t="shared" si="9"/>
        <v>82890</v>
      </c>
      <c r="AP20" s="492">
        <f t="shared" si="10"/>
        <v>909153</v>
      </c>
      <c r="AQ20" s="492">
        <f t="shared" si="10"/>
        <v>26069</v>
      </c>
      <c r="AR20" s="492">
        <f t="shared" si="10"/>
        <v>0</v>
      </c>
      <c r="AS20" s="491">
        <f t="shared" si="11"/>
        <v>5.03</v>
      </c>
    </row>
    <row r="21" spans="1:45" x14ac:dyDescent="0.2">
      <c r="A21" s="136">
        <v>3</v>
      </c>
      <c r="B21" s="137">
        <v>3439</v>
      </c>
      <c r="C21" s="137">
        <v>600010473</v>
      </c>
      <c r="D21" s="137">
        <v>43256791</v>
      </c>
      <c r="E21" s="135" t="s">
        <v>740</v>
      </c>
      <c r="F21" s="137">
        <v>3143</v>
      </c>
      <c r="G21" s="138" t="s">
        <v>282</v>
      </c>
      <c r="H21" s="558" t="s">
        <v>263</v>
      </c>
      <c r="I21" s="580">
        <v>643101</v>
      </c>
      <c r="J21" s="490">
        <v>444323</v>
      </c>
      <c r="K21" s="554">
        <v>33000</v>
      </c>
      <c r="L21" s="431">
        <v>161335</v>
      </c>
      <c r="M21" s="431">
        <v>4443</v>
      </c>
      <c r="N21" s="431">
        <v>0</v>
      </c>
      <c r="O21" s="614">
        <v>0.82000000000000006</v>
      </c>
      <c r="P21" s="440">
        <f>W21*-1</f>
        <v>-22000</v>
      </c>
      <c r="Q21" s="325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 t="shared" si="3"/>
        <v>-22000</v>
      </c>
      <c r="W21" s="325">
        <v>22000</v>
      </c>
      <c r="X21" s="325">
        <v>0</v>
      </c>
      <c r="Y21" s="325">
        <v>0</v>
      </c>
      <c r="Z21" s="492">
        <f t="shared" si="4"/>
        <v>22000</v>
      </c>
      <c r="AA21" s="492">
        <f t="shared" si="5"/>
        <v>0</v>
      </c>
      <c r="AB21" s="494">
        <f t="shared" si="6"/>
        <v>0</v>
      </c>
      <c r="AC21" s="55">
        <f>ROUND(V21*1%,0)</f>
        <v>-220</v>
      </c>
      <c r="AD21" s="492">
        <v>0</v>
      </c>
      <c r="AE21" s="753">
        <f t="shared" si="7"/>
        <v>-220</v>
      </c>
      <c r="AF21" s="688">
        <v>-0.05</v>
      </c>
      <c r="AG21" s="326">
        <v>0</v>
      </c>
      <c r="AH21" s="326">
        <v>0</v>
      </c>
      <c r="AI21" s="326">
        <v>0</v>
      </c>
      <c r="AJ21" s="326">
        <v>0</v>
      </c>
      <c r="AK21" s="326">
        <v>0</v>
      </c>
      <c r="AL21" s="609">
        <f t="shared" si="8"/>
        <v>-0.05</v>
      </c>
      <c r="AM21" s="493">
        <f>I21+AE21</f>
        <v>642881</v>
      </c>
      <c r="AN21" s="492">
        <f>J21+V21</f>
        <v>422323</v>
      </c>
      <c r="AO21" s="573">
        <f t="shared" si="9"/>
        <v>55000</v>
      </c>
      <c r="AP21" s="492">
        <f t="shared" si="10"/>
        <v>161335</v>
      </c>
      <c r="AQ21" s="492">
        <f t="shared" si="10"/>
        <v>4223</v>
      </c>
      <c r="AR21" s="492">
        <f t="shared" si="10"/>
        <v>0</v>
      </c>
      <c r="AS21" s="491">
        <f t="shared" si="11"/>
        <v>0.77</v>
      </c>
    </row>
    <row r="22" spans="1:45" x14ac:dyDescent="0.2">
      <c r="A22" s="107">
        <v>3</v>
      </c>
      <c r="B22" s="15">
        <v>3439</v>
      </c>
      <c r="C22" s="15">
        <v>600010473</v>
      </c>
      <c r="D22" s="15">
        <v>43256791</v>
      </c>
      <c r="E22" s="116" t="s">
        <v>85</v>
      </c>
      <c r="F22" s="15"/>
      <c r="G22" s="106"/>
      <c r="H22" s="555"/>
      <c r="I22" s="758">
        <v>38394140</v>
      </c>
      <c r="J22" s="343">
        <v>28295803</v>
      </c>
      <c r="K22" s="343">
        <v>187890</v>
      </c>
      <c r="L22" s="343">
        <v>9627489</v>
      </c>
      <c r="M22" s="343">
        <v>282958</v>
      </c>
      <c r="N22" s="343">
        <v>0</v>
      </c>
      <c r="O22" s="35">
        <v>50.309999999999995</v>
      </c>
      <c r="P22" s="346">
        <f t="shared" ref="P22:AS22" si="12">SUM(P17:P21)</f>
        <v>-80000</v>
      </c>
      <c r="Q22" s="343">
        <f t="shared" si="12"/>
        <v>600209</v>
      </c>
      <c r="R22" s="343">
        <f t="shared" si="12"/>
        <v>0</v>
      </c>
      <c r="S22" s="343">
        <f t="shared" si="12"/>
        <v>0</v>
      </c>
      <c r="T22" s="343">
        <f t="shared" si="12"/>
        <v>0</v>
      </c>
      <c r="U22" s="343">
        <f t="shared" si="12"/>
        <v>0</v>
      </c>
      <c r="V22" s="343">
        <f t="shared" si="12"/>
        <v>520209</v>
      </c>
      <c r="W22" s="343">
        <f t="shared" si="12"/>
        <v>80000</v>
      </c>
      <c r="X22" s="343">
        <f t="shared" si="12"/>
        <v>0</v>
      </c>
      <c r="Y22" s="343">
        <f t="shared" si="12"/>
        <v>0</v>
      </c>
      <c r="Z22" s="343">
        <f t="shared" si="12"/>
        <v>80000</v>
      </c>
      <c r="AA22" s="343">
        <f t="shared" si="12"/>
        <v>600209</v>
      </c>
      <c r="AB22" s="343">
        <f t="shared" si="12"/>
        <v>202871</v>
      </c>
      <c r="AC22" s="343">
        <f t="shared" si="12"/>
        <v>5202</v>
      </c>
      <c r="AD22" s="343">
        <f t="shared" si="12"/>
        <v>0</v>
      </c>
      <c r="AE22" s="763">
        <f t="shared" si="12"/>
        <v>808282</v>
      </c>
      <c r="AF22" s="767">
        <f t="shared" si="12"/>
        <v>-0.05</v>
      </c>
      <c r="AG22" s="344">
        <f t="shared" si="12"/>
        <v>1.35</v>
      </c>
      <c r="AH22" s="344">
        <f t="shared" si="12"/>
        <v>0</v>
      </c>
      <c r="AI22" s="344">
        <f t="shared" si="12"/>
        <v>0</v>
      </c>
      <c r="AJ22" s="344">
        <f t="shared" si="12"/>
        <v>0</v>
      </c>
      <c r="AK22" s="344">
        <f t="shared" si="12"/>
        <v>0</v>
      </c>
      <c r="AL22" s="35">
        <f t="shared" si="12"/>
        <v>1.3</v>
      </c>
      <c r="AM22" s="346">
        <f t="shared" si="12"/>
        <v>39202422</v>
      </c>
      <c r="AN22" s="343">
        <f t="shared" si="12"/>
        <v>28816012</v>
      </c>
      <c r="AO22" s="343">
        <f t="shared" si="12"/>
        <v>267890</v>
      </c>
      <c r="AP22" s="343">
        <f t="shared" si="12"/>
        <v>9830360</v>
      </c>
      <c r="AQ22" s="343">
        <f t="shared" si="12"/>
        <v>288160</v>
      </c>
      <c r="AR22" s="343">
        <f t="shared" si="12"/>
        <v>0</v>
      </c>
      <c r="AS22" s="344">
        <f t="shared" si="12"/>
        <v>51.610000000000007</v>
      </c>
    </row>
    <row r="23" spans="1:45" x14ac:dyDescent="0.2">
      <c r="A23" s="136">
        <v>4</v>
      </c>
      <c r="B23" s="137">
        <v>3438</v>
      </c>
      <c r="C23" s="137">
        <v>600078493</v>
      </c>
      <c r="D23" s="137">
        <v>43257089</v>
      </c>
      <c r="E23" s="135" t="s">
        <v>86</v>
      </c>
      <c r="F23" s="137">
        <v>3113</v>
      </c>
      <c r="G23" s="138" t="s">
        <v>280</v>
      </c>
      <c r="H23" s="558" t="s">
        <v>262</v>
      </c>
      <c r="I23" s="610">
        <v>28929755</v>
      </c>
      <c r="J23" s="554">
        <v>21321020</v>
      </c>
      <c r="K23" s="554">
        <v>141270</v>
      </c>
      <c r="L23" s="431">
        <v>7254254</v>
      </c>
      <c r="M23" s="431">
        <v>213211</v>
      </c>
      <c r="N23" s="431">
        <v>0</v>
      </c>
      <c r="O23" s="611">
        <v>29.46</v>
      </c>
      <c r="P23" s="445">
        <f>W23*-1</f>
        <v>-8000</v>
      </c>
      <c r="Q23" s="325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 t="shared" ref="V23:V26" si="13">P23+Q23+R23+S23+T23+U23</f>
        <v>-8000</v>
      </c>
      <c r="W23" s="325">
        <v>8000</v>
      </c>
      <c r="X23" s="325">
        <v>0</v>
      </c>
      <c r="Y23" s="325">
        <v>0</v>
      </c>
      <c r="Z23" s="492">
        <f t="shared" ref="Z23:Z26" si="14">W23+X23+Y23</f>
        <v>8000</v>
      </c>
      <c r="AA23" s="492">
        <f t="shared" ref="AA23:AA26" si="15">V23+Z23</f>
        <v>0</v>
      </c>
      <c r="AB23" s="494">
        <f t="shared" ref="AB23:AB26" si="16">ROUND((V23+Z23)*33.8%,0)</f>
        <v>0</v>
      </c>
      <c r="AC23" s="55">
        <f>ROUND(V23*1%,0)</f>
        <v>-80</v>
      </c>
      <c r="AD23" s="492">
        <v>0</v>
      </c>
      <c r="AE23" s="753">
        <f t="shared" ref="AE23:AE26" si="17">AA23+AB23+AC23+AD23</f>
        <v>-80</v>
      </c>
      <c r="AF23" s="688">
        <v>0</v>
      </c>
      <c r="AG23" s="326">
        <v>0</v>
      </c>
      <c r="AH23" s="326">
        <v>0</v>
      </c>
      <c r="AI23" s="326">
        <v>0</v>
      </c>
      <c r="AJ23" s="326">
        <v>0</v>
      </c>
      <c r="AK23" s="326">
        <v>0</v>
      </c>
      <c r="AL23" s="609">
        <f t="shared" ref="AL23:AL26" si="18">SUM(AF23:AK23)</f>
        <v>0</v>
      </c>
      <c r="AM23" s="493">
        <f>I23+AE23</f>
        <v>28929675</v>
      </c>
      <c r="AN23" s="492">
        <f>J23+V23</f>
        <v>21313020</v>
      </c>
      <c r="AO23" s="573">
        <f t="shared" ref="AO23:AO26" si="19">K23+Z23</f>
        <v>149270</v>
      </c>
      <c r="AP23" s="492">
        <f t="shared" ref="AP23:AR26" si="20">L23+AB23</f>
        <v>7254254</v>
      </c>
      <c r="AQ23" s="492">
        <f t="shared" si="20"/>
        <v>213131</v>
      </c>
      <c r="AR23" s="492">
        <f t="shared" si="20"/>
        <v>0</v>
      </c>
      <c r="AS23" s="491">
        <f t="shared" ref="AS23:AS26" si="21">O23+AL23</f>
        <v>29.46</v>
      </c>
    </row>
    <row r="24" spans="1:45" x14ac:dyDescent="0.2">
      <c r="A24" s="136">
        <v>4</v>
      </c>
      <c r="B24" s="137">
        <v>3438</v>
      </c>
      <c r="C24" s="137">
        <v>600078493</v>
      </c>
      <c r="D24" s="137">
        <v>43257089</v>
      </c>
      <c r="E24" s="135" t="s">
        <v>86</v>
      </c>
      <c r="F24" s="137">
        <v>3113</v>
      </c>
      <c r="G24" s="138" t="s">
        <v>799</v>
      </c>
      <c r="H24" s="558" t="s">
        <v>262</v>
      </c>
      <c r="I24" s="610">
        <v>782302</v>
      </c>
      <c r="J24" s="554">
        <v>580343</v>
      </c>
      <c r="K24" s="554">
        <v>0</v>
      </c>
      <c r="L24" s="431">
        <v>196156</v>
      </c>
      <c r="M24" s="431">
        <v>5803</v>
      </c>
      <c r="N24" s="431">
        <v>0</v>
      </c>
      <c r="O24" s="611">
        <v>1.1000000000000001</v>
      </c>
      <c r="P24" s="445">
        <f>W24*-1</f>
        <v>0</v>
      </c>
      <c r="Q24" s="325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 t="shared" si="13"/>
        <v>0</v>
      </c>
      <c r="W24" s="325">
        <v>0</v>
      </c>
      <c r="X24" s="325">
        <v>0</v>
      </c>
      <c r="Y24" s="325">
        <v>0</v>
      </c>
      <c r="Z24" s="492">
        <f t="shared" si="14"/>
        <v>0</v>
      </c>
      <c r="AA24" s="492">
        <f t="shared" si="15"/>
        <v>0</v>
      </c>
      <c r="AB24" s="494">
        <f t="shared" si="16"/>
        <v>0</v>
      </c>
      <c r="AC24" s="55">
        <f>ROUND(V24*1%,0)</f>
        <v>0</v>
      </c>
      <c r="AD24" s="492">
        <v>0</v>
      </c>
      <c r="AE24" s="753">
        <f t="shared" si="17"/>
        <v>0</v>
      </c>
      <c r="AF24" s="688">
        <v>0</v>
      </c>
      <c r="AG24" s="326">
        <v>0</v>
      </c>
      <c r="AH24" s="326">
        <v>0</v>
      </c>
      <c r="AI24" s="326">
        <v>0</v>
      </c>
      <c r="AJ24" s="326">
        <v>0</v>
      </c>
      <c r="AK24" s="326">
        <v>0</v>
      </c>
      <c r="AL24" s="609">
        <f t="shared" si="18"/>
        <v>0</v>
      </c>
      <c r="AM24" s="493">
        <f>I24+AE24</f>
        <v>782302</v>
      </c>
      <c r="AN24" s="492">
        <f>J24+V24</f>
        <v>580343</v>
      </c>
      <c r="AO24" s="573">
        <f t="shared" si="19"/>
        <v>0</v>
      </c>
      <c r="AP24" s="492">
        <f t="shared" si="20"/>
        <v>196156</v>
      </c>
      <c r="AQ24" s="492">
        <f t="shared" si="20"/>
        <v>5803</v>
      </c>
      <c r="AR24" s="492">
        <f t="shared" si="20"/>
        <v>0</v>
      </c>
      <c r="AS24" s="491">
        <f t="shared" si="21"/>
        <v>1.1000000000000001</v>
      </c>
    </row>
    <row r="25" spans="1:45" x14ac:dyDescent="0.2">
      <c r="A25" s="136">
        <v>4</v>
      </c>
      <c r="B25" s="137">
        <v>3438</v>
      </c>
      <c r="C25" s="137">
        <v>600078493</v>
      </c>
      <c r="D25" s="137">
        <v>43257089</v>
      </c>
      <c r="E25" s="135" t="s">
        <v>86</v>
      </c>
      <c r="F25" s="137">
        <v>3113</v>
      </c>
      <c r="G25" s="138" t="s">
        <v>278</v>
      </c>
      <c r="H25" s="558" t="s">
        <v>263</v>
      </c>
      <c r="I25" s="580">
        <v>5099505</v>
      </c>
      <c r="J25" s="490">
        <v>3783016</v>
      </c>
      <c r="K25" s="554">
        <v>0</v>
      </c>
      <c r="L25" s="431">
        <v>1278659</v>
      </c>
      <c r="M25" s="431">
        <v>37830</v>
      </c>
      <c r="N25" s="431">
        <v>0</v>
      </c>
      <c r="O25" s="614">
        <v>9.14</v>
      </c>
      <c r="P25" s="440">
        <f>W25*-1</f>
        <v>0</v>
      </c>
      <c r="Q25" s="325">
        <v>22075</v>
      </c>
      <c r="R25" s="325">
        <v>0</v>
      </c>
      <c r="S25" s="325">
        <v>0</v>
      </c>
      <c r="T25" s="325">
        <v>0</v>
      </c>
      <c r="U25" s="325">
        <v>0</v>
      </c>
      <c r="V25" s="492">
        <f t="shared" si="13"/>
        <v>22075</v>
      </c>
      <c r="W25" s="325">
        <v>0</v>
      </c>
      <c r="X25" s="325">
        <v>0</v>
      </c>
      <c r="Y25" s="325">
        <v>0</v>
      </c>
      <c r="Z25" s="492">
        <f t="shared" si="14"/>
        <v>0</v>
      </c>
      <c r="AA25" s="492">
        <f t="shared" si="15"/>
        <v>22075</v>
      </c>
      <c r="AB25" s="494">
        <f t="shared" si="16"/>
        <v>7461</v>
      </c>
      <c r="AC25" s="55">
        <f>ROUND(V25*1%,0)</f>
        <v>221</v>
      </c>
      <c r="AD25" s="492">
        <v>0</v>
      </c>
      <c r="AE25" s="753">
        <f t="shared" si="17"/>
        <v>29757</v>
      </c>
      <c r="AF25" s="688">
        <v>0</v>
      </c>
      <c r="AG25" s="326">
        <v>0.04</v>
      </c>
      <c r="AH25" s="326">
        <v>0</v>
      </c>
      <c r="AI25" s="326">
        <v>0</v>
      </c>
      <c r="AJ25" s="326">
        <v>0</v>
      </c>
      <c r="AK25" s="326">
        <v>0</v>
      </c>
      <c r="AL25" s="609">
        <f t="shared" si="18"/>
        <v>0.04</v>
      </c>
      <c r="AM25" s="493">
        <f>I25+AE25</f>
        <v>5129262</v>
      </c>
      <c r="AN25" s="492">
        <f>J25+V25</f>
        <v>3805091</v>
      </c>
      <c r="AO25" s="573">
        <f t="shared" si="19"/>
        <v>0</v>
      </c>
      <c r="AP25" s="492">
        <f t="shared" si="20"/>
        <v>1286120</v>
      </c>
      <c r="AQ25" s="492">
        <f t="shared" si="20"/>
        <v>38051</v>
      </c>
      <c r="AR25" s="492">
        <f t="shared" si="20"/>
        <v>0</v>
      </c>
      <c r="AS25" s="491">
        <f t="shared" si="21"/>
        <v>9.18</v>
      </c>
    </row>
    <row r="26" spans="1:45" x14ac:dyDescent="0.2">
      <c r="A26" s="136">
        <v>4</v>
      </c>
      <c r="B26" s="137">
        <v>3438</v>
      </c>
      <c r="C26" s="137">
        <v>600078493</v>
      </c>
      <c r="D26" s="137">
        <v>43257089</v>
      </c>
      <c r="E26" s="135" t="s">
        <v>86</v>
      </c>
      <c r="F26" s="137">
        <v>3143</v>
      </c>
      <c r="G26" s="138" t="s">
        <v>795</v>
      </c>
      <c r="H26" s="157" t="s">
        <v>262</v>
      </c>
      <c r="I26" s="580">
        <v>2062702</v>
      </c>
      <c r="J26" s="490">
        <v>1527217</v>
      </c>
      <c r="K26" s="554">
        <v>3000</v>
      </c>
      <c r="L26" s="431">
        <v>517213</v>
      </c>
      <c r="M26" s="431">
        <v>15272</v>
      </c>
      <c r="N26" s="431">
        <v>0</v>
      </c>
      <c r="O26" s="614">
        <v>2.66</v>
      </c>
      <c r="P26" s="440">
        <f>W26*-1</f>
        <v>-2000</v>
      </c>
      <c r="Q26" s="325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 t="shared" si="13"/>
        <v>-2000</v>
      </c>
      <c r="W26" s="325">
        <v>2000</v>
      </c>
      <c r="X26" s="325">
        <v>0</v>
      </c>
      <c r="Y26" s="325">
        <v>0</v>
      </c>
      <c r="Z26" s="492">
        <f t="shared" si="14"/>
        <v>2000</v>
      </c>
      <c r="AA26" s="492">
        <f t="shared" si="15"/>
        <v>0</v>
      </c>
      <c r="AB26" s="494">
        <f t="shared" si="16"/>
        <v>0</v>
      </c>
      <c r="AC26" s="55">
        <f>ROUND(V26*1%,0)</f>
        <v>-20</v>
      </c>
      <c r="AD26" s="492">
        <v>0</v>
      </c>
      <c r="AE26" s="753">
        <f t="shared" si="17"/>
        <v>-20</v>
      </c>
      <c r="AF26" s="688">
        <v>0</v>
      </c>
      <c r="AG26" s="326">
        <v>0</v>
      </c>
      <c r="AH26" s="326">
        <v>0</v>
      </c>
      <c r="AI26" s="326">
        <v>0</v>
      </c>
      <c r="AJ26" s="326">
        <v>0</v>
      </c>
      <c r="AK26" s="326">
        <v>0</v>
      </c>
      <c r="AL26" s="609">
        <f t="shared" si="18"/>
        <v>0</v>
      </c>
      <c r="AM26" s="493">
        <f>I26+AE26</f>
        <v>2062682</v>
      </c>
      <c r="AN26" s="492">
        <f>J26+V26</f>
        <v>1525217</v>
      </c>
      <c r="AO26" s="573">
        <f t="shared" si="19"/>
        <v>5000</v>
      </c>
      <c r="AP26" s="492">
        <f t="shared" si="20"/>
        <v>517213</v>
      </c>
      <c r="AQ26" s="492">
        <f t="shared" si="20"/>
        <v>15252</v>
      </c>
      <c r="AR26" s="492">
        <f t="shared" si="20"/>
        <v>0</v>
      </c>
      <c r="AS26" s="491">
        <f t="shared" si="21"/>
        <v>2.66</v>
      </c>
    </row>
    <row r="27" spans="1:45" x14ac:dyDescent="0.2">
      <c r="A27" s="107">
        <v>4</v>
      </c>
      <c r="B27" s="15">
        <v>3438</v>
      </c>
      <c r="C27" s="15">
        <v>600078493</v>
      </c>
      <c r="D27" s="15">
        <v>43257089</v>
      </c>
      <c r="E27" s="116" t="s">
        <v>87</v>
      </c>
      <c r="F27" s="15"/>
      <c r="G27" s="106"/>
      <c r="H27" s="555"/>
      <c r="I27" s="758">
        <v>36874264</v>
      </c>
      <c r="J27" s="343">
        <v>27211596</v>
      </c>
      <c r="K27" s="343">
        <v>144270</v>
      </c>
      <c r="L27" s="343">
        <v>9246282</v>
      </c>
      <c r="M27" s="343">
        <v>272116</v>
      </c>
      <c r="N27" s="343">
        <v>0</v>
      </c>
      <c r="O27" s="35">
        <v>42.36</v>
      </c>
      <c r="P27" s="346">
        <f t="shared" ref="P27:AS27" si="22">SUM(P23:P26)</f>
        <v>-10000</v>
      </c>
      <c r="Q27" s="343">
        <f t="shared" si="22"/>
        <v>22075</v>
      </c>
      <c r="R27" s="343">
        <f t="shared" si="22"/>
        <v>0</v>
      </c>
      <c r="S27" s="343">
        <f t="shared" si="22"/>
        <v>0</v>
      </c>
      <c r="T27" s="343">
        <f t="shared" si="22"/>
        <v>0</v>
      </c>
      <c r="U27" s="343">
        <f t="shared" si="22"/>
        <v>0</v>
      </c>
      <c r="V27" s="343">
        <f t="shared" si="22"/>
        <v>12075</v>
      </c>
      <c r="W27" s="343">
        <f t="shared" si="22"/>
        <v>10000</v>
      </c>
      <c r="X27" s="343">
        <f t="shared" si="22"/>
        <v>0</v>
      </c>
      <c r="Y27" s="343">
        <f t="shared" si="22"/>
        <v>0</v>
      </c>
      <c r="Z27" s="343">
        <f t="shared" si="22"/>
        <v>10000</v>
      </c>
      <c r="AA27" s="343">
        <f t="shared" si="22"/>
        <v>22075</v>
      </c>
      <c r="AB27" s="343">
        <f t="shared" si="22"/>
        <v>7461</v>
      </c>
      <c r="AC27" s="343">
        <f t="shared" si="22"/>
        <v>121</v>
      </c>
      <c r="AD27" s="343">
        <f t="shared" si="22"/>
        <v>0</v>
      </c>
      <c r="AE27" s="763">
        <f t="shared" si="22"/>
        <v>29657</v>
      </c>
      <c r="AF27" s="767">
        <f t="shared" si="22"/>
        <v>0</v>
      </c>
      <c r="AG27" s="344">
        <f t="shared" si="22"/>
        <v>0.04</v>
      </c>
      <c r="AH27" s="344">
        <f t="shared" si="22"/>
        <v>0</v>
      </c>
      <c r="AI27" s="344">
        <f t="shared" si="22"/>
        <v>0</v>
      </c>
      <c r="AJ27" s="344">
        <f t="shared" si="22"/>
        <v>0</v>
      </c>
      <c r="AK27" s="344">
        <f t="shared" si="22"/>
        <v>0</v>
      </c>
      <c r="AL27" s="35">
        <f t="shared" si="22"/>
        <v>0.04</v>
      </c>
      <c r="AM27" s="346">
        <f t="shared" si="22"/>
        <v>36903921</v>
      </c>
      <c r="AN27" s="343">
        <f t="shared" si="22"/>
        <v>27223671</v>
      </c>
      <c r="AO27" s="343">
        <f t="shared" si="22"/>
        <v>154270</v>
      </c>
      <c r="AP27" s="343">
        <f t="shared" si="22"/>
        <v>9253743</v>
      </c>
      <c r="AQ27" s="343">
        <f t="shared" si="22"/>
        <v>272237</v>
      </c>
      <c r="AR27" s="343">
        <f t="shared" si="22"/>
        <v>0</v>
      </c>
      <c r="AS27" s="344">
        <f t="shared" si="22"/>
        <v>42.400000000000006</v>
      </c>
    </row>
    <row r="28" spans="1:45" s="3" customFormat="1" x14ac:dyDescent="0.2">
      <c r="A28" s="136">
        <v>5</v>
      </c>
      <c r="B28" s="137">
        <v>3459</v>
      </c>
      <c r="C28" s="137">
        <v>651040264</v>
      </c>
      <c r="D28" s="137">
        <v>75121531</v>
      </c>
      <c r="E28" s="135" t="s">
        <v>88</v>
      </c>
      <c r="F28" s="137">
        <v>3231</v>
      </c>
      <c r="G28" s="138" t="s">
        <v>281</v>
      </c>
      <c r="H28" s="157" t="s">
        <v>262</v>
      </c>
      <c r="I28" s="610">
        <v>17939023</v>
      </c>
      <c r="J28" s="554">
        <v>13295969</v>
      </c>
      <c r="K28" s="554">
        <v>12000</v>
      </c>
      <c r="L28" s="431">
        <v>4498094</v>
      </c>
      <c r="M28" s="431">
        <v>132960</v>
      </c>
      <c r="N28" s="431">
        <v>0</v>
      </c>
      <c r="O28" s="611">
        <v>19.95</v>
      </c>
      <c r="P28" s="445">
        <f>W28*-1</f>
        <v>-8000</v>
      </c>
      <c r="Q28" s="325">
        <v>0</v>
      </c>
      <c r="R28" s="325">
        <v>0</v>
      </c>
      <c r="S28" s="325">
        <v>0</v>
      </c>
      <c r="T28" s="325">
        <v>0</v>
      </c>
      <c r="U28" s="325">
        <v>0</v>
      </c>
      <c r="V28" s="492">
        <f>P28+Q28+R28+S28+T28+U28</f>
        <v>-8000</v>
      </c>
      <c r="W28" s="325">
        <v>8000</v>
      </c>
      <c r="X28" s="325">
        <v>0</v>
      </c>
      <c r="Y28" s="325">
        <v>0</v>
      </c>
      <c r="Z28" s="492">
        <f>W28+X28+Y28</f>
        <v>8000</v>
      </c>
      <c r="AA28" s="492">
        <f>V28+Z28</f>
        <v>0</v>
      </c>
      <c r="AB28" s="494">
        <f>ROUND((V28+Z28)*33.8%,0)</f>
        <v>0</v>
      </c>
      <c r="AC28" s="55">
        <f>ROUND(V28*1%,0)</f>
        <v>-80</v>
      </c>
      <c r="AD28" s="492">
        <v>0</v>
      </c>
      <c r="AE28" s="753">
        <f>AA28+AB28+AC28+AD28</f>
        <v>-80</v>
      </c>
      <c r="AF28" s="688">
        <v>0</v>
      </c>
      <c r="AG28" s="326">
        <v>0</v>
      </c>
      <c r="AH28" s="326">
        <v>0</v>
      </c>
      <c r="AI28" s="326">
        <v>0</v>
      </c>
      <c r="AJ28" s="326">
        <v>0</v>
      </c>
      <c r="AK28" s="326">
        <v>0</v>
      </c>
      <c r="AL28" s="609">
        <f>SUM(AF28:AK28)</f>
        <v>0</v>
      </c>
      <c r="AM28" s="493">
        <f>I28+AE28</f>
        <v>17938943</v>
      </c>
      <c r="AN28" s="492">
        <f>J28+V28</f>
        <v>13287969</v>
      </c>
      <c r="AO28" s="573">
        <f>K28+Z28</f>
        <v>20000</v>
      </c>
      <c r="AP28" s="492">
        <f>L28+AB28</f>
        <v>4498094</v>
      </c>
      <c r="AQ28" s="492">
        <f>M28+AC28</f>
        <v>132880</v>
      </c>
      <c r="AR28" s="492">
        <f>N28+AD28</f>
        <v>0</v>
      </c>
      <c r="AS28" s="491">
        <f>O28+AL28</f>
        <v>19.95</v>
      </c>
    </row>
    <row r="29" spans="1:45" s="3" customFormat="1" x14ac:dyDescent="0.2">
      <c r="A29" s="107">
        <v>5</v>
      </c>
      <c r="B29" s="15">
        <v>3459</v>
      </c>
      <c r="C29" s="15">
        <v>651040264</v>
      </c>
      <c r="D29" s="15">
        <v>75121531</v>
      </c>
      <c r="E29" s="116" t="s">
        <v>89</v>
      </c>
      <c r="F29" s="15"/>
      <c r="G29" s="106"/>
      <c r="H29" s="555"/>
      <c r="I29" s="757">
        <v>17939023</v>
      </c>
      <c r="J29" s="341">
        <v>13295969</v>
      </c>
      <c r="K29" s="341">
        <v>12000</v>
      </c>
      <c r="L29" s="341">
        <v>4498094</v>
      </c>
      <c r="M29" s="341">
        <v>132960</v>
      </c>
      <c r="N29" s="341">
        <v>0</v>
      </c>
      <c r="O29" s="36">
        <v>19.95</v>
      </c>
      <c r="P29" s="345">
        <f t="shared" ref="P29:AS29" si="23">SUM(P28)</f>
        <v>-8000</v>
      </c>
      <c r="Q29" s="341">
        <f t="shared" si="23"/>
        <v>0</v>
      </c>
      <c r="R29" s="341">
        <f t="shared" si="23"/>
        <v>0</v>
      </c>
      <c r="S29" s="341">
        <f t="shared" si="23"/>
        <v>0</v>
      </c>
      <c r="T29" s="341">
        <f t="shared" si="23"/>
        <v>0</v>
      </c>
      <c r="U29" s="341">
        <f t="shared" si="23"/>
        <v>0</v>
      </c>
      <c r="V29" s="341">
        <f t="shared" si="23"/>
        <v>-8000</v>
      </c>
      <c r="W29" s="341">
        <f t="shared" si="23"/>
        <v>8000</v>
      </c>
      <c r="X29" s="341">
        <f t="shared" si="23"/>
        <v>0</v>
      </c>
      <c r="Y29" s="341">
        <f t="shared" si="23"/>
        <v>0</v>
      </c>
      <c r="Z29" s="341">
        <f t="shared" si="23"/>
        <v>8000</v>
      </c>
      <c r="AA29" s="341">
        <f t="shared" si="23"/>
        <v>0</v>
      </c>
      <c r="AB29" s="341">
        <f t="shared" si="23"/>
        <v>0</v>
      </c>
      <c r="AC29" s="341">
        <f t="shared" si="23"/>
        <v>-80</v>
      </c>
      <c r="AD29" s="341">
        <f t="shared" si="23"/>
        <v>0</v>
      </c>
      <c r="AE29" s="762">
        <f t="shared" si="23"/>
        <v>-80</v>
      </c>
      <c r="AF29" s="766">
        <f t="shared" si="23"/>
        <v>0</v>
      </c>
      <c r="AG29" s="342">
        <f t="shared" si="23"/>
        <v>0</v>
      </c>
      <c r="AH29" s="342">
        <f t="shared" si="23"/>
        <v>0</v>
      </c>
      <c r="AI29" s="342">
        <f t="shared" si="23"/>
        <v>0</v>
      </c>
      <c r="AJ29" s="342">
        <f t="shared" si="23"/>
        <v>0</v>
      </c>
      <c r="AK29" s="342">
        <f t="shared" si="23"/>
        <v>0</v>
      </c>
      <c r="AL29" s="36">
        <f t="shared" si="23"/>
        <v>0</v>
      </c>
      <c r="AM29" s="345">
        <f t="shared" si="23"/>
        <v>17938943</v>
      </c>
      <c r="AN29" s="341">
        <f t="shared" si="23"/>
        <v>13287969</v>
      </c>
      <c r="AO29" s="341">
        <f t="shared" si="23"/>
        <v>20000</v>
      </c>
      <c r="AP29" s="341">
        <f t="shared" si="23"/>
        <v>4498094</v>
      </c>
      <c r="AQ29" s="341">
        <f t="shared" si="23"/>
        <v>132880</v>
      </c>
      <c r="AR29" s="341">
        <f t="shared" si="23"/>
        <v>0</v>
      </c>
      <c r="AS29" s="342">
        <f t="shared" si="23"/>
        <v>19.95</v>
      </c>
    </row>
    <row r="30" spans="1:45" s="3" customFormat="1" x14ac:dyDescent="0.2">
      <c r="A30" s="136">
        <v>6</v>
      </c>
      <c r="B30" s="137">
        <v>3401</v>
      </c>
      <c r="C30" s="137">
        <v>650023404</v>
      </c>
      <c r="D30" s="137">
        <v>70981477</v>
      </c>
      <c r="E30" s="135" t="s">
        <v>90</v>
      </c>
      <c r="F30" s="137">
        <v>3111</v>
      </c>
      <c r="G30" s="138" t="s">
        <v>277</v>
      </c>
      <c r="H30" s="558" t="s">
        <v>262</v>
      </c>
      <c r="I30" s="610">
        <v>1597013</v>
      </c>
      <c r="J30" s="554">
        <v>1184728</v>
      </c>
      <c r="K30" s="554">
        <v>0</v>
      </c>
      <c r="L30" s="431">
        <v>400438</v>
      </c>
      <c r="M30" s="431">
        <v>11847</v>
      </c>
      <c r="N30" s="431">
        <v>0</v>
      </c>
      <c r="O30" s="611">
        <v>2</v>
      </c>
      <c r="P30" s="445">
        <f>W30*-1</f>
        <v>0</v>
      </c>
      <c r="Q30" s="325">
        <v>0</v>
      </c>
      <c r="R30" s="325">
        <v>0</v>
      </c>
      <c r="S30" s="325">
        <v>0</v>
      </c>
      <c r="T30" s="325">
        <v>0</v>
      </c>
      <c r="U30" s="325">
        <v>0</v>
      </c>
      <c r="V30" s="492">
        <f t="shared" ref="V30:V33" si="24">P30+Q30+R30+S30+T30+U30</f>
        <v>0</v>
      </c>
      <c r="W30" s="325">
        <v>0</v>
      </c>
      <c r="X30" s="325">
        <v>0</v>
      </c>
      <c r="Y30" s="325">
        <v>0</v>
      </c>
      <c r="Z30" s="492">
        <f t="shared" ref="Z30:Z33" si="25">W30+X30+Y30</f>
        <v>0</v>
      </c>
      <c r="AA30" s="492">
        <f t="shared" ref="AA30:AA33" si="26">V30+Z30</f>
        <v>0</v>
      </c>
      <c r="AB30" s="494">
        <f t="shared" ref="AB30:AB33" si="27">ROUND((V30+Z30)*33.8%,0)</f>
        <v>0</v>
      </c>
      <c r="AC30" s="55">
        <f>ROUND(V30*1%,0)</f>
        <v>0</v>
      </c>
      <c r="AD30" s="492">
        <v>0</v>
      </c>
      <c r="AE30" s="753">
        <f t="shared" ref="AE30:AE33" si="28">AA30+AB30+AC30+AD30</f>
        <v>0</v>
      </c>
      <c r="AF30" s="688">
        <v>0</v>
      </c>
      <c r="AG30" s="326">
        <v>0</v>
      </c>
      <c r="AH30" s="326">
        <v>0</v>
      </c>
      <c r="AI30" s="326">
        <v>0</v>
      </c>
      <c r="AJ30" s="326">
        <v>0</v>
      </c>
      <c r="AK30" s="326">
        <v>0</v>
      </c>
      <c r="AL30" s="609">
        <f t="shared" ref="AL30:AL33" si="29">SUM(AF30:AK30)</f>
        <v>0</v>
      </c>
      <c r="AM30" s="493">
        <f>I30+AE30</f>
        <v>1597013</v>
      </c>
      <c r="AN30" s="492">
        <f>J30+V30</f>
        <v>1184728</v>
      </c>
      <c r="AO30" s="573">
        <f t="shared" ref="AO30:AO33" si="30">K30+Z30</f>
        <v>0</v>
      </c>
      <c r="AP30" s="492">
        <f t="shared" ref="AP30:AR33" si="31">L30+AB30</f>
        <v>400438</v>
      </c>
      <c r="AQ30" s="492">
        <f t="shared" si="31"/>
        <v>11847</v>
      </c>
      <c r="AR30" s="492">
        <f t="shared" si="31"/>
        <v>0</v>
      </c>
      <c r="AS30" s="491">
        <f t="shared" ref="AS30:AS33" si="32">O30+AL30</f>
        <v>2</v>
      </c>
    </row>
    <row r="31" spans="1:45" x14ac:dyDescent="0.2">
      <c r="A31" s="136">
        <v>6</v>
      </c>
      <c r="B31" s="137">
        <v>3401</v>
      </c>
      <c r="C31" s="137">
        <v>650023404</v>
      </c>
      <c r="D31" s="137">
        <v>70981477</v>
      </c>
      <c r="E31" s="135" t="s">
        <v>90</v>
      </c>
      <c r="F31" s="137">
        <v>3117</v>
      </c>
      <c r="G31" s="138" t="s">
        <v>280</v>
      </c>
      <c r="H31" s="558" t="s">
        <v>262</v>
      </c>
      <c r="I31" s="580">
        <v>3024492</v>
      </c>
      <c r="J31" s="490">
        <v>2236541</v>
      </c>
      <c r="K31" s="554">
        <v>7200</v>
      </c>
      <c r="L31" s="431">
        <v>758385</v>
      </c>
      <c r="M31" s="431">
        <v>22366</v>
      </c>
      <c r="N31" s="431">
        <v>0</v>
      </c>
      <c r="O31" s="614">
        <v>3.58</v>
      </c>
      <c r="P31" s="440">
        <f>W31*-1</f>
        <v>-4800</v>
      </c>
      <c r="Q31" s="325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 t="shared" si="24"/>
        <v>-4800</v>
      </c>
      <c r="W31" s="325">
        <v>4800</v>
      </c>
      <c r="X31" s="325">
        <v>0</v>
      </c>
      <c r="Y31" s="325">
        <v>0</v>
      </c>
      <c r="Z31" s="492">
        <f t="shared" si="25"/>
        <v>4800</v>
      </c>
      <c r="AA31" s="492">
        <f t="shared" si="26"/>
        <v>0</v>
      </c>
      <c r="AB31" s="494">
        <f t="shared" si="27"/>
        <v>0</v>
      </c>
      <c r="AC31" s="55">
        <f>ROUND(V31*1%,0)</f>
        <v>-48</v>
      </c>
      <c r="AD31" s="492">
        <v>0</v>
      </c>
      <c r="AE31" s="753">
        <f t="shared" si="28"/>
        <v>-48</v>
      </c>
      <c r="AF31" s="688">
        <v>-0.01</v>
      </c>
      <c r="AG31" s="326">
        <v>0</v>
      </c>
      <c r="AH31" s="326">
        <v>0</v>
      </c>
      <c r="AI31" s="326">
        <v>0</v>
      </c>
      <c r="AJ31" s="326">
        <v>0</v>
      </c>
      <c r="AK31" s="326">
        <v>0</v>
      </c>
      <c r="AL31" s="609">
        <f t="shared" si="29"/>
        <v>-0.01</v>
      </c>
      <c r="AM31" s="493">
        <f>I31+AE31</f>
        <v>3024444</v>
      </c>
      <c r="AN31" s="492">
        <f>J31+V31</f>
        <v>2231741</v>
      </c>
      <c r="AO31" s="573">
        <f t="shared" si="30"/>
        <v>12000</v>
      </c>
      <c r="AP31" s="492">
        <f t="shared" si="31"/>
        <v>758385</v>
      </c>
      <c r="AQ31" s="492">
        <f t="shared" si="31"/>
        <v>22318</v>
      </c>
      <c r="AR31" s="492">
        <f t="shared" si="31"/>
        <v>0</v>
      </c>
      <c r="AS31" s="491">
        <f t="shared" si="32"/>
        <v>3.5700000000000003</v>
      </c>
    </row>
    <row r="32" spans="1:45" x14ac:dyDescent="0.2">
      <c r="A32" s="136">
        <v>6</v>
      </c>
      <c r="B32" s="137">
        <v>3401</v>
      </c>
      <c r="C32" s="137">
        <v>650023404</v>
      </c>
      <c r="D32" s="137">
        <v>70981477</v>
      </c>
      <c r="E32" s="135" t="s">
        <v>90</v>
      </c>
      <c r="F32" s="137">
        <v>3117</v>
      </c>
      <c r="G32" s="138" t="s">
        <v>284</v>
      </c>
      <c r="H32" s="558" t="s">
        <v>263</v>
      </c>
      <c r="I32" s="580">
        <v>436922</v>
      </c>
      <c r="J32" s="490">
        <v>324126</v>
      </c>
      <c r="K32" s="554">
        <v>0</v>
      </c>
      <c r="L32" s="431">
        <v>109555</v>
      </c>
      <c r="M32" s="431">
        <v>3241</v>
      </c>
      <c r="N32" s="431">
        <v>0</v>
      </c>
      <c r="O32" s="614">
        <v>0.8</v>
      </c>
      <c r="P32" s="440">
        <f>W32*-1</f>
        <v>0</v>
      </c>
      <c r="Q32" s="325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 t="shared" si="24"/>
        <v>0</v>
      </c>
      <c r="W32" s="325">
        <v>0</v>
      </c>
      <c r="X32" s="325">
        <v>0</v>
      </c>
      <c r="Y32" s="325">
        <v>0</v>
      </c>
      <c r="Z32" s="492">
        <f t="shared" si="25"/>
        <v>0</v>
      </c>
      <c r="AA32" s="492">
        <f t="shared" si="26"/>
        <v>0</v>
      </c>
      <c r="AB32" s="494">
        <f t="shared" si="27"/>
        <v>0</v>
      </c>
      <c r="AC32" s="55">
        <f>ROUND(V32*1%,0)</f>
        <v>0</v>
      </c>
      <c r="AD32" s="492">
        <v>0</v>
      </c>
      <c r="AE32" s="753">
        <f t="shared" si="28"/>
        <v>0</v>
      </c>
      <c r="AF32" s="688">
        <v>0</v>
      </c>
      <c r="AG32" s="326">
        <v>0</v>
      </c>
      <c r="AH32" s="326">
        <v>0</v>
      </c>
      <c r="AI32" s="326">
        <v>0</v>
      </c>
      <c r="AJ32" s="326">
        <v>0</v>
      </c>
      <c r="AK32" s="326">
        <v>0</v>
      </c>
      <c r="AL32" s="609">
        <f t="shared" si="29"/>
        <v>0</v>
      </c>
      <c r="AM32" s="493">
        <f>I32+AE32</f>
        <v>436922</v>
      </c>
      <c r="AN32" s="492">
        <f>J32+V32</f>
        <v>324126</v>
      </c>
      <c r="AO32" s="573">
        <f t="shared" si="30"/>
        <v>0</v>
      </c>
      <c r="AP32" s="492">
        <f t="shared" si="31"/>
        <v>109555</v>
      </c>
      <c r="AQ32" s="492">
        <f t="shared" si="31"/>
        <v>3241</v>
      </c>
      <c r="AR32" s="492">
        <f t="shared" si="31"/>
        <v>0</v>
      </c>
      <c r="AS32" s="491">
        <f t="shared" si="32"/>
        <v>0.8</v>
      </c>
    </row>
    <row r="33" spans="1:45" x14ac:dyDescent="0.2">
      <c r="A33" s="136">
        <v>6</v>
      </c>
      <c r="B33" s="137">
        <v>3401</v>
      </c>
      <c r="C33" s="137">
        <v>650023404</v>
      </c>
      <c r="D33" s="137">
        <v>70981477</v>
      </c>
      <c r="E33" s="135" t="s">
        <v>90</v>
      </c>
      <c r="F33" s="137">
        <v>3143</v>
      </c>
      <c r="G33" s="138" t="s">
        <v>794</v>
      </c>
      <c r="H33" s="157" t="s">
        <v>262</v>
      </c>
      <c r="I33" s="580">
        <v>731335</v>
      </c>
      <c r="J33" s="490">
        <v>542534</v>
      </c>
      <c r="K33" s="554">
        <v>0</v>
      </c>
      <c r="L33" s="431">
        <v>183376</v>
      </c>
      <c r="M33" s="431">
        <v>5425</v>
      </c>
      <c r="N33" s="431">
        <v>0</v>
      </c>
      <c r="O33" s="614">
        <v>0.94</v>
      </c>
      <c r="P33" s="440">
        <f>W33*-1</f>
        <v>0</v>
      </c>
      <c r="Q33" s="325">
        <v>0</v>
      </c>
      <c r="R33" s="325">
        <v>0</v>
      </c>
      <c r="S33" s="325">
        <v>0</v>
      </c>
      <c r="T33" s="325">
        <v>0</v>
      </c>
      <c r="U33" s="325">
        <v>0</v>
      </c>
      <c r="V33" s="492">
        <f t="shared" si="24"/>
        <v>0</v>
      </c>
      <c r="W33" s="325">
        <v>0</v>
      </c>
      <c r="X33" s="325">
        <v>0</v>
      </c>
      <c r="Y33" s="325">
        <v>0</v>
      </c>
      <c r="Z33" s="492">
        <f t="shared" si="25"/>
        <v>0</v>
      </c>
      <c r="AA33" s="492">
        <f t="shared" si="26"/>
        <v>0</v>
      </c>
      <c r="AB33" s="494">
        <f t="shared" si="27"/>
        <v>0</v>
      </c>
      <c r="AC33" s="55">
        <f>ROUND(V33*1%,0)</f>
        <v>0</v>
      </c>
      <c r="AD33" s="492">
        <v>0</v>
      </c>
      <c r="AE33" s="753">
        <f t="shared" si="28"/>
        <v>0</v>
      </c>
      <c r="AF33" s="688">
        <v>0</v>
      </c>
      <c r="AG33" s="326">
        <v>0</v>
      </c>
      <c r="AH33" s="326">
        <v>0</v>
      </c>
      <c r="AI33" s="326">
        <v>0</v>
      </c>
      <c r="AJ33" s="326">
        <v>0</v>
      </c>
      <c r="AK33" s="326">
        <v>0</v>
      </c>
      <c r="AL33" s="609">
        <f t="shared" si="29"/>
        <v>0</v>
      </c>
      <c r="AM33" s="493">
        <f>I33+AE33</f>
        <v>731335</v>
      </c>
      <c r="AN33" s="492">
        <f>J33+V33</f>
        <v>542534</v>
      </c>
      <c r="AO33" s="573">
        <f t="shared" si="30"/>
        <v>0</v>
      </c>
      <c r="AP33" s="492">
        <f t="shared" si="31"/>
        <v>183376</v>
      </c>
      <c r="AQ33" s="492">
        <f t="shared" si="31"/>
        <v>5425</v>
      </c>
      <c r="AR33" s="492">
        <f t="shared" si="31"/>
        <v>0</v>
      </c>
      <c r="AS33" s="491">
        <f t="shared" si="32"/>
        <v>0.94</v>
      </c>
    </row>
    <row r="34" spans="1:45" x14ac:dyDescent="0.2">
      <c r="A34" s="107">
        <v>6</v>
      </c>
      <c r="B34" s="15">
        <v>3401</v>
      </c>
      <c r="C34" s="15">
        <v>650023404</v>
      </c>
      <c r="D34" s="15">
        <v>70981477</v>
      </c>
      <c r="E34" s="116" t="s">
        <v>91</v>
      </c>
      <c r="F34" s="15"/>
      <c r="G34" s="106"/>
      <c r="H34" s="555"/>
      <c r="I34" s="757">
        <v>5789762</v>
      </c>
      <c r="J34" s="341">
        <v>4287929</v>
      </c>
      <c r="K34" s="341">
        <v>7200</v>
      </c>
      <c r="L34" s="341">
        <v>1451754</v>
      </c>
      <c r="M34" s="341">
        <v>42879</v>
      </c>
      <c r="N34" s="341">
        <v>0</v>
      </c>
      <c r="O34" s="36">
        <v>7.32</v>
      </c>
      <c r="P34" s="345">
        <f t="shared" ref="P34:AS34" si="33">SUM(P30:P33)</f>
        <v>-4800</v>
      </c>
      <c r="Q34" s="341">
        <f t="shared" si="33"/>
        <v>0</v>
      </c>
      <c r="R34" s="341">
        <f t="shared" si="33"/>
        <v>0</v>
      </c>
      <c r="S34" s="341">
        <f t="shared" si="33"/>
        <v>0</v>
      </c>
      <c r="T34" s="341">
        <f t="shared" si="33"/>
        <v>0</v>
      </c>
      <c r="U34" s="341">
        <f t="shared" si="33"/>
        <v>0</v>
      </c>
      <c r="V34" s="341">
        <f t="shared" si="33"/>
        <v>-4800</v>
      </c>
      <c r="W34" s="341">
        <f t="shared" si="33"/>
        <v>4800</v>
      </c>
      <c r="X34" s="341">
        <f t="shared" si="33"/>
        <v>0</v>
      </c>
      <c r="Y34" s="341">
        <f t="shared" si="33"/>
        <v>0</v>
      </c>
      <c r="Z34" s="341">
        <f t="shared" si="33"/>
        <v>4800</v>
      </c>
      <c r="AA34" s="341">
        <f t="shared" si="33"/>
        <v>0</v>
      </c>
      <c r="AB34" s="341">
        <f t="shared" si="33"/>
        <v>0</v>
      </c>
      <c r="AC34" s="341">
        <f t="shared" si="33"/>
        <v>-48</v>
      </c>
      <c r="AD34" s="341">
        <f t="shared" si="33"/>
        <v>0</v>
      </c>
      <c r="AE34" s="762">
        <f t="shared" si="33"/>
        <v>-48</v>
      </c>
      <c r="AF34" s="766">
        <f t="shared" si="33"/>
        <v>-0.01</v>
      </c>
      <c r="AG34" s="342">
        <f t="shared" si="33"/>
        <v>0</v>
      </c>
      <c r="AH34" s="342">
        <f t="shared" si="33"/>
        <v>0</v>
      </c>
      <c r="AI34" s="342">
        <f t="shared" si="33"/>
        <v>0</v>
      </c>
      <c r="AJ34" s="342">
        <f t="shared" si="33"/>
        <v>0</v>
      </c>
      <c r="AK34" s="342">
        <f t="shared" si="33"/>
        <v>0</v>
      </c>
      <c r="AL34" s="36">
        <f t="shared" si="33"/>
        <v>-0.01</v>
      </c>
      <c r="AM34" s="345">
        <f t="shared" si="33"/>
        <v>5789714</v>
      </c>
      <c r="AN34" s="341">
        <f t="shared" si="33"/>
        <v>4283129</v>
      </c>
      <c r="AO34" s="341">
        <f t="shared" si="33"/>
        <v>12000</v>
      </c>
      <c r="AP34" s="341">
        <f t="shared" si="33"/>
        <v>1451754</v>
      </c>
      <c r="AQ34" s="341">
        <f t="shared" si="33"/>
        <v>42831</v>
      </c>
      <c r="AR34" s="341">
        <f t="shared" si="33"/>
        <v>0</v>
      </c>
      <c r="AS34" s="342">
        <f t="shared" si="33"/>
        <v>7.3100000000000005</v>
      </c>
    </row>
    <row r="35" spans="1:45" x14ac:dyDescent="0.2">
      <c r="A35" s="136">
        <v>7</v>
      </c>
      <c r="B35" s="137">
        <v>3404</v>
      </c>
      <c r="C35" s="137">
        <v>650023021</v>
      </c>
      <c r="D35" s="137">
        <v>70982597</v>
      </c>
      <c r="E35" s="135" t="s">
        <v>92</v>
      </c>
      <c r="F35" s="137">
        <v>3111</v>
      </c>
      <c r="G35" s="138" t="s">
        <v>277</v>
      </c>
      <c r="H35" s="558" t="s">
        <v>262</v>
      </c>
      <c r="I35" s="610">
        <v>4690905</v>
      </c>
      <c r="J35" s="554">
        <v>3473945</v>
      </c>
      <c r="K35" s="554">
        <v>6000</v>
      </c>
      <c r="L35" s="431">
        <v>1176221</v>
      </c>
      <c r="M35" s="431">
        <v>34739</v>
      </c>
      <c r="N35" s="431">
        <v>0</v>
      </c>
      <c r="O35" s="611">
        <v>5.9</v>
      </c>
      <c r="P35" s="445">
        <f>W35*-1</f>
        <v>-4000</v>
      </c>
      <c r="Q35" s="325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 t="shared" ref="V35:V39" si="34">P35+Q35+R35+S35+T35+U35</f>
        <v>-4000</v>
      </c>
      <c r="W35" s="325">
        <v>4000</v>
      </c>
      <c r="X35" s="325">
        <v>0</v>
      </c>
      <c r="Y35" s="325">
        <v>0</v>
      </c>
      <c r="Z35" s="492">
        <f t="shared" ref="Z35:Z39" si="35">W35+X35+Y35</f>
        <v>4000</v>
      </c>
      <c r="AA35" s="492">
        <f t="shared" ref="AA35:AA39" si="36">V35+Z35</f>
        <v>0</v>
      </c>
      <c r="AB35" s="494">
        <f t="shared" ref="AB35:AB39" si="37">ROUND((V35+Z35)*33.8%,0)</f>
        <v>0</v>
      </c>
      <c r="AC35" s="55">
        <f>ROUND(V35*1%,0)</f>
        <v>-40</v>
      </c>
      <c r="AD35" s="492">
        <v>0</v>
      </c>
      <c r="AE35" s="753">
        <f t="shared" ref="AE35:AE39" si="38">AA35+AB35+AC35+AD35</f>
        <v>-40</v>
      </c>
      <c r="AF35" s="688">
        <v>0</v>
      </c>
      <c r="AG35" s="326">
        <v>0</v>
      </c>
      <c r="AH35" s="326">
        <v>0</v>
      </c>
      <c r="AI35" s="326">
        <v>0</v>
      </c>
      <c r="AJ35" s="326">
        <v>0</v>
      </c>
      <c r="AK35" s="326">
        <v>0</v>
      </c>
      <c r="AL35" s="609">
        <f t="shared" ref="AL35:AL39" si="39">SUM(AF35:AK35)</f>
        <v>0</v>
      </c>
      <c r="AM35" s="493">
        <f>I35+AE35</f>
        <v>4690865</v>
      </c>
      <c r="AN35" s="492">
        <f>J35+V35</f>
        <v>3469945</v>
      </c>
      <c r="AO35" s="573">
        <f t="shared" ref="AO35:AO39" si="40">K35+Z35</f>
        <v>10000</v>
      </c>
      <c r="AP35" s="492">
        <f t="shared" ref="AP35:AR39" si="41">L35+AB35</f>
        <v>1176221</v>
      </c>
      <c r="AQ35" s="492">
        <f t="shared" si="41"/>
        <v>34699</v>
      </c>
      <c r="AR35" s="492">
        <f t="shared" si="41"/>
        <v>0</v>
      </c>
      <c r="AS35" s="491">
        <f t="shared" ref="AS35:AS39" si="42">O35+AL35</f>
        <v>5.9</v>
      </c>
    </row>
    <row r="36" spans="1:45" x14ac:dyDescent="0.2">
      <c r="A36" s="136">
        <v>7</v>
      </c>
      <c r="B36" s="137">
        <v>3404</v>
      </c>
      <c r="C36" s="137">
        <v>650023021</v>
      </c>
      <c r="D36" s="137">
        <v>70982597</v>
      </c>
      <c r="E36" s="135" t="s">
        <v>92</v>
      </c>
      <c r="F36" s="137">
        <v>3113</v>
      </c>
      <c r="G36" s="138" t="s">
        <v>280</v>
      </c>
      <c r="H36" s="558" t="s">
        <v>262</v>
      </c>
      <c r="I36" s="580">
        <v>17934087</v>
      </c>
      <c r="J36" s="490">
        <v>13280397</v>
      </c>
      <c r="K36" s="554">
        <v>24000</v>
      </c>
      <c r="L36" s="431">
        <v>4496886</v>
      </c>
      <c r="M36" s="431">
        <v>132804</v>
      </c>
      <c r="N36" s="431">
        <v>0</v>
      </c>
      <c r="O36" s="614">
        <v>19.47</v>
      </c>
      <c r="P36" s="440">
        <f>W36*-1</f>
        <v>-16000</v>
      </c>
      <c r="Q36" s="325">
        <v>0</v>
      </c>
      <c r="R36" s="325">
        <v>0</v>
      </c>
      <c r="S36" s="325">
        <v>0</v>
      </c>
      <c r="T36" s="325">
        <v>0</v>
      </c>
      <c r="U36" s="325">
        <v>0</v>
      </c>
      <c r="V36" s="492">
        <f t="shared" si="34"/>
        <v>-16000</v>
      </c>
      <c r="W36" s="325">
        <v>16000</v>
      </c>
      <c r="X36" s="325">
        <v>0</v>
      </c>
      <c r="Y36" s="325">
        <v>0</v>
      </c>
      <c r="Z36" s="492">
        <f t="shared" si="35"/>
        <v>16000</v>
      </c>
      <c r="AA36" s="492">
        <f t="shared" si="36"/>
        <v>0</v>
      </c>
      <c r="AB36" s="494">
        <f t="shared" si="37"/>
        <v>0</v>
      </c>
      <c r="AC36" s="55">
        <f>ROUND(V36*1%,0)</f>
        <v>-160</v>
      </c>
      <c r="AD36" s="492">
        <v>0</v>
      </c>
      <c r="AE36" s="753">
        <f t="shared" si="38"/>
        <v>-160</v>
      </c>
      <c r="AF36" s="688">
        <v>-0.01</v>
      </c>
      <c r="AG36" s="326">
        <v>0</v>
      </c>
      <c r="AH36" s="326">
        <v>0</v>
      </c>
      <c r="AI36" s="326">
        <v>0</v>
      </c>
      <c r="AJ36" s="326">
        <v>0</v>
      </c>
      <c r="AK36" s="326">
        <v>0</v>
      </c>
      <c r="AL36" s="609">
        <f t="shared" si="39"/>
        <v>-0.01</v>
      </c>
      <c r="AM36" s="493">
        <f>I36+AE36</f>
        <v>17933927</v>
      </c>
      <c r="AN36" s="492">
        <f>J36+V36</f>
        <v>13264397</v>
      </c>
      <c r="AO36" s="573">
        <f t="shared" si="40"/>
        <v>40000</v>
      </c>
      <c r="AP36" s="492">
        <f t="shared" si="41"/>
        <v>4496886</v>
      </c>
      <c r="AQ36" s="492">
        <f t="shared" si="41"/>
        <v>132644</v>
      </c>
      <c r="AR36" s="492">
        <f t="shared" si="41"/>
        <v>0</v>
      </c>
      <c r="AS36" s="491">
        <f t="shared" si="42"/>
        <v>19.459999999999997</v>
      </c>
    </row>
    <row r="37" spans="1:45" x14ac:dyDescent="0.2">
      <c r="A37" s="136">
        <v>7</v>
      </c>
      <c r="B37" s="137">
        <v>3404</v>
      </c>
      <c r="C37" s="137">
        <v>650023021</v>
      </c>
      <c r="D37" s="137">
        <v>70982597</v>
      </c>
      <c r="E37" s="135" t="s">
        <v>92</v>
      </c>
      <c r="F37" s="137">
        <v>3113</v>
      </c>
      <c r="G37" s="138" t="s">
        <v>799</v>
      </c>
      <c r="H37" s="558" t="s">
        <v>262</v>
      </c>
      <c r="I37" s="580">
        <v>396858</v>
      </c>
      <c r="J37" s="490">
        <v>294405</v>
      </c>
      <c r="K37" s="554">
        <v>0</v>
      </c>
      <c r="L37" s="431">
        <v>99509</v>
      </c>
      <c r="M37" s="431">
        <v>2944</v>
      </c>
      <c r="N37" s="431">
        <v>0</v>
      </c>
      <c r="O37" s="614">
        <v>0.56000000000000005</v>
      </c>
      <c r="P37" s="440">
        <f>W37*-1</f>
        <v>0</v>
      </c>
      <c r="Q37" s="325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 t="shared" si="34"/>
        <v>0</v>
      </c>
      <c r="W37" s="325">
        <v>0</v>
      </c>
      <c r="X37" s="325">
        <v>0</v>
      </c>
      <c r="Y37" s="325">
        <v>0</v>
      </c>
      <c r="Z37" s="492">
        <f t="shared" si="35"/>
        <v>0</v>
      </c>
      <c r="AA37" s="492">
        <f t="shared" si="36"/>
        <v>0</v>
      </c>
      <c r="AB37" s="494">
        <f t="shared" si="37"/>
        <v>0</v>
      </c>
      <c r="AC37" s="55">
        <f>ROUND(V37*1%,0)</f>
        <v>0</v>
      </c>
      <c r="AD37" s="492">
        <v>0</v>
      </c>
      <c r="AE37" s="753">
        <f t="shared" si="38"/>
        <v>0</v>
      </c>
      <c r="AF37" s="688">
        <v>0</v>
      </c>
      <c r="AG37" s="326">
        <v>0</v>
      </c>
      <c r="AH37" s="326">
        <v>0</v>
      </c>
      <c r="AI37" s="326">
        <v>0</v>
      </c>
      <c r="AJ37" s="326">
        <v>0</v>
      </c>
      <c r="AK37" s="326">
        <v>0</v>
      </c>
      <c r="AL37" s="609">
        <f t="shared" si="39"/>
        <v>0</v>
      </c>
      <c r="AM37" s="493">
        <f>I37+AE37</f>
        <v>396858</v>
      </c>
      <c r="AN37" s="492">
        <f>J37+V37</f>
        <v>294405</v>
      </c>
      <c r="AO37" s="573">
        <f t="shared" si="40"/>
        <v>0</v>
      </c>
      <c r="AP37" s="492">
        <f t="shared" si="41"/>
        <v>99509</v>
      </c>
      <c r="AQ37" s="492">
        <f t="shared" si="41"/>
        <v>2944</v>
      </c>
      <c r="AR37" s="492">
        <f t="shared" si="41"/>
        <v>0</v>
      </c>
      <c r="AS37" s="491">
        <f t="shared" si="42"/>
        <v>0.56000000000000005</v>
      </c>
    </row>
    <row r="38" spans="1:45" x14ac:dyDescent="0.2">
      <c r="A38" s="136">
        <v>7</v>
      </c>
      <c r="B38" s="137">
        <v>3404</v>
      </c>
      <c r="C38" s="137">
        <v>650023021</v>
      </c>
      <c r="D38" s="137">
        <v>70982597</v>
      </c>
      <c r="E38" s="135" t="s">
        <v>92</v>
      </c>
      <c r="F38" s="137">
        <v>3113</v>
      </c>
      <c r="G38" s="138" t="s">
        <v>278</v>
      </c>
      <c r="H38" s="558" t="s">
        <v>263</v>
      </c>
      <c r="I38" s="580">
        <v>5958765</v>
      </c>
      <c r="J38" s="490">
        <v>4420449</v>
      </c>
      <c r="K38" s="554">
        <v>0</v>
      </c>
      <c r="L38" s="431">
        <v>1494112</v>
      </c>
      <c r="M38" s="431">
        <v>44204</v>
      </c>
      <c r="N38" s="431">
        <v>0</v>
      </c>
      <c r="O38" s="614">
        <v>11.14</v>
      </c>
      <c r="P38" s="440">
        <f>W38*-1</f>
        <v>0</v>
      </c>
      <c r="Q38" s="325">
        <f>264901-223227</f>
        <v>41674</v>
      </c>
      <c r="R38" s="325">
        <v>0</v>
      </c>
      <c r="S38" s="325">
        <v>0</v>
      </c>
      <c r="T38" s="325">
        <v>0</v>
      </c>
      <c r="U38" s="325">
        <v>0</v>
      </c>
      <c r="V38" s="492">
        <f t="shared" si="34"/>
        <v>41674</v>
      </c>
      <c r="W38" s="325">
        <v>0</v>
      </c>
      <c r="X38" s="325">
        <v>0</v>
      </c>
      <c r="Y38" s="325">
        <v>0</v>
      </c>
      <c r="Z38" s="492">
        <f t="shared" si="35"/>
        <v>0</v>
      </c>
      <c r="AA38" s="492">
        <f t="shared" si="36"/>
        <v>41674</v>
      </c>
      <c r="AB38" s="494">
        <f t="shared" si="37"/>
        <v>14086</v>
      </c>
      <c r="AC38" s="55">
        <f>ROUND(V38*1%,0)</f>
        <v>417</v>
      </c>
      <c r="AD38" s="492">
        <v>0</v>
      </c>
      <c r="AE38" s="753">
        <f t="shared" si="38"/>
        <v>56177</v>
      </c>
      <c r="AF38" s="688">
        <v>0</v>
      </c>
      <c r="AG38" s="326">
        <f>0.5-0.56</f>
        <v>-6.0000000000000053E-2</v>
      </c>
      <c r="AH38" s="326">
        <v>0</v>
      </c>
      <c r="AI38" s="326">
        <v>0</v>
      </c>
      <c r="AJ38" s="326">
        <v>0</v>
      </c>
      <c r="AK38" s="326">
        <v>0</v>
      </c>
      <c r="AL38" s="609">
        <f t="shared" si="39"/>
        <v>-6.0000000000000053E-2</v>
      </c>
      <c r="AM38" s="493">
        <f>I38+AE38</f>
        <v>6014942</v>
      </c>
      <c r="AN38" s="492">
        <f>J38+V38</f>
        <v>4462123</v>
      </c>
      <c r="AO38" s="573">
        <f t="shared" si="40"/>
        <v>0</v>
      </c>
      <c r="AP38" s="492">
        <f t="shared" si="41"/>
        <v>1508198</v>
      </c>
      <c r="AQ38" s="492">
        <f t="shared" si="41"/>
        <v>44621</v>
      </c>
      <c r="AR38" s="492">
        <f t="shared" si="41"/>
        <v>0</v>
      </c>
      <c r="AS38" s="491">
        <f t="shared" si="42"/>
        <v>11.08</v>
      </c>
    </row>
    <row r="39" spans="1:45" s="3" customFormat="1" x14ac:dyDescent="0.2">
      <c r="A39" s="136">
        <v>7</v>
      </c>
      <c r="B39" s="137">
        <v>3404</v>
      </c>
      <c r="C39" s="137">
        <v>650023021</v>
      </c>
      <c r="D39" s="137">
        <v>70982597</v>
      </c>
      <c r="E39" s="135" t="s">
        <v>92</v>
      </c>
      <c r="F39" s="137">
        <v>3143</v>
      </c>
      <c r="G39" s="138" t="s">
        <v>794</v>
      </c>
      <c r="H39" s="157" t="s">
        <v>262</v>
      </c>
      <c r="I39" s="580">
        <v>2039230</v>
      </c>
      <c r="J39" s="490">
        <v>1512782</v>
      </c>
      <c r="K39" s="554">
        <v>0</v>
      </c>
      <c r="L39" s="431">
        <v>511320</v>
      </c>
      <c r="M39" s="431">
        <v>15128</v>
      </c>
      <c r="N39" s="431">
        <v>0</v>
      </c>
      <c r="O39" s="614">
        <v>2.96</v>
      </c>
      <c r="P39" s="440">
        <f>W39*-1</f>
        <v>0</v>
      </c>
      <c r="Q39" s="325">
        <v>0</v>
      </c>
      <c r="R39" s="325">
        <v>0</v>
      </c>
      <c r="S39" s="325">
        <v>0</v>
      </c>
      <c r="T39" s="325">
        <v>0</v>
      </c>
      <c r="U39" s="325">
        <v>0</v>
      </c>
      <c r="V39" s="492">
        <f t="shared" si="34"/>
        <v>0</v>
      </c>
      <c r="W39" s="325">
        <v>0</v>
      </c>
      <c r="X39" s="325">
        <v>0</v>
      </c>
      <c r="Y39" s="325">
        <v>0</v>
      </c>
      <c r="Z39" s="492">
        <f t="shared" si="35"/>
        <v>0</v>
      </c>
      <c r="AA39" s="492">
        <f t="shared" si="36"/>
        <v>0</v>
      </c>
      <c r="AB39" s="494">
        <f t="shared" si="37"/>
        <v>0</v>
      </c>
      <c r="AC39" s="55">
        <f>ROUND(V39*1%,0)</f>
        <v>0</v>
      </c>
      <c r="AD39" s="492">
        <v>0</v>
      </c>
      <c r="AE39" s="753">
        <f t="shared" si="38"/>
        <v>0</v>
      </c>
      <c r="AF39" s="688">
        <v>0</v>
      </c>
      <c r="AG39" s="326">
        <v>0</v>
      </c>
      <c r="AH39" s="326">
        <v>0</v>
      </c>
      <c r="AI39" s="326">
        <v>0</v>
      </c>
      <c r="AJ39" s="326">
        <v>0</v>
      </c>
      <c r="AK39" s="326">
        <v>0</v>
      </c>
      <c r="AL39" s="609">
        <f t="shared" si="39"/>
        <v>0</v>
      </c>
      <c r="AM39" s="493">
        <f>I39+AE39</f>
        <v>2039230</v>
      </c>
      <c r="AN39" s="492">
        <f>J39+V39</f>
        <v>1512782</v>
      </c>
      <c r="AO39" s="573">
        <f t="shared" si="40"/>
        <v>0</v>
      </c>
      <c r="AP39" s="492">
        <f t="shared" si="41"/>
        <v>511320</v>
      </c>
      <c r="AQ39" s="492">
        <f t="shared" si="41"/>
        <v>15128</v>
      </c>
      <c r="AR39" s="492">
        <f t="shared" si="41"/>
        <v>0</v>
      </c>
      <c r="AS39" s="491">
        <f t="shared" si="42"/>
        <v>2.96</v>
      </c>
    </row>
    <row r="40" spans="1:45" x14ac:dyDescent="0.2">
      <c r="A40" s="107">
        <v>7</v>
      </c>
      <c r="B40" s="15">
        <v>3404</v>
      </c>
      <c r="C40" s="15">
        <v>650023021</v>
      </c>
      <c r="D40" s="15">
        <v>70982597</v>
      </c>
      <c r="E40" s="116" t="s">
        <v>93</v>
      </c>
      <c r="F40" s="15"/>
      <c r="G40" s="106"/>
      <c r="H40" s="555"/>
      <c r="I40" s="757">
        <v>31019845</v>
      </c>
      <c r="J40" s="341">
        <v>22981978</v>
      </c>
      <c r="K40" s="341">
        <v>30000</v>
      </c>
      <c r="L40" s="341">
        <v>7778048</v>
      </c>
      <c r="M40" s="341">
        <v>229819</v>
      </c>
      <c r="N40" s="341">
        <v>0</v>
      </c>
      <c r="O40" s="36">
        <v>40.029999999999994</v>
      </c>
      <c r="P40" s="345">
        <f t="shared" ref="P40:AS40" si="43">SUM(P35:P39)</f>
        <v>-20000</v>
      </c>
      <c r="Q40" s="341">
        <f t="shared" si="43"/>
        <v>41674</v>
      </c>
      <c r="R40" s="341">
        <f t="shared" si="43"/>
        <v>0</v>
      </c>
      <c r="S40" s="341">
        <f t="shared" si="43"/>
        <v>0</v>
      </c>
      <c r="T40" s="341">
        <f t="shared" si="43"/>
        <v>0</v>
      </c>
      <c r="U40" s="341">
        <f t="shared" si="43"/>
        <v>0</v>
      </c>
      <c r="V40" s="341">
        <f t="shared" si="43"/>
        <v>21674</v>
      </c>
      <c r="W40" s="341">
        <f t="shared" si="43"/>
        <v>20000</v>
      </c>
      <c r="X40" s="341">
        <f t="shared" si="43"/>
        <v>0</v>
      </c>
      <c r="Y40" s="341">
        <f t="shared" si="43"/>
        <v>0</v>
      </c>
      <c r="Z40" s="341">
        <f t="shared" si="43"/>
        <v>20000</v>
      </c>
      <c r="AA40" s="341">
        <f t="shared" si="43"/>
        <v>41674</v>
      </c>
      <c r="AB40" s="341">
        <f t="shared" si="43"/>
        <v>14086</v>
      </c>
      <c r="AC40" s="341">
        <f t="shared" si="43"/>
        <v>217</v>
      </c>
      <c r="AD40" s="341">
        <f t="shared" si="43"/>
        <v>0</v>
      </c>
      <c r="AE40" s="762">
        <f t="shared" si="43"/>
        <v>55977</v>
      </c>
      <c r="AF40" s="766">
        <f t="shared" si="43"/>
        <v>-0.01</v>
      </c>
      <c r="AG40" s="342">
        <f t="shared" si="43"/>
        <v>-6.0000000000000053E-2</v>
      </c>
      <c r="AH40" s="342">
        <f t="shared" si="43"/>
        <v>0</v>
      </c>
      <c r="AI40" s="342">
        <f t="shared" si="43"/>
        <v>0</v>
      </c>
      <c r="AJ40" s="342">
        <f t="shared" si="43"/>
        <v>0</v>
      </c>
      <c r="AK40" s="342">
        <f t="shared" si="43"/>
        <v>0</v>
      </c>
      <c r="AL40" s="36">
        <f t="shared" si="43"/>
        <v>-7.0000000000000048E-2</v>
      </c>
      <c r="AM40" s="345">
        <f t="shared" si="43"/>
        <v>31075822</v>
      </c>
      <c r="AN40" s="341">
        <f t="shared" si="43"/>
        <v>23003652</v>
      </c>
      <c r="AO40" s="341">
        <f t="shared" si="43"/>
        <v>50000</v>
      </c>
      <c r="AP40" s="341">
        <f t="shared" si="43"/>
        <v>7792134</v>
      </c>
      <c r="AQ40" s="341">
        <f t="shared" si="43"/>
        <v>230036</v>
      </c>
      <c r="AR40" s="341">
        <f t="shared" si="43"/>
        <v>0</v>
      </c>
      <c r="AS40" s="342">
        <f t="shared" si="43"/>
        <v>39.96</v>
      </c>
    </row>
    <row r="41" spans="1:45" x14ac:dyDescent="0.2">
      <c r="A41" s="136">
        <v>8</v>
      </c>
      <c r="B41" s="137">
        <v>3477</v>
      </c>
      <c r="C41" s="137">
        <v>600098451</v>
      </c>
      <c r="D41" s="137">
        <v>70695491</v>
      </c>
      <c r="E41" s="135" t="s">
        <v>94</v>
      </c>
      <c r="F41" s="137">
        <v>3111</v>
      </c>
      <c r="G41" s="138" t="s">
        <v>277</v>
      </c>
      <c r="H41" s="558" t="s">
        <v>262</v>
      </c>
      <c r="I41" s="610">
        <v>3955877</v>
      </c>
      <c r="J41" s="554">
        <v>2934627</v>
      </c>
      <c r="K41" s="554">
        <v>0</v>
      </c>
      <c r="L41" s="431">
        <v>991904</v>
      </c>
      <c r="M41" s="431">
        <v>29346</v>
      </c>
      <c r="N41" s="431">
        <v>0</v>
      </c>
      <c r="O41" s="611">
        <v>5</v>
      </c>
      <c r="P41" s="445">
        <f>W41*-1</f>
        <v>0</v>
      </c>
      <c r="Q41" s="325">
        <v>0</v>
      </c>
      <c r="R41" s="325">
        <v>0</v>
      </c>
      <c r="S41" s="325">
        <v>0</v>
      </c>
      <c r="T41" s="325">
        <v>0</v>
      </c>
      <c r="U41" s="325">
        <v>0</v>
      </c>
      <c r="V41" s="492">
        <f t="shared" ref="V41:V42" si="44">P41+Q41+R41+S41+T41+U41</f>
        <v>0</v>
      </c>
      <c r="W41" s="325">
        <v>0</v>
      </c>
      <c r="X41" s="325">
        <v>0</v>
      </c>
      <c r="Y41" s="325">
        <v>0</v>
      </c>
      <c r="Z41" s="492">
        <f t="shared" ref="Z41:Z42" si="45">W41+X41+Y41</f>
        <v>0</v>
      </c>
      <c r="AA41" s="492">
        <f t="shared" ref="AA41:AA42" si="46">V41+Z41</f>
        <v>0</v>
      </c>
      <c r="AB41" s="494">
        <f t="shared" ref="AB41:AB42" si="47">ROUND((V41+Z41)*33.8%,0)</f>
        <v>0</v>
      </c>
      <c r="AC41" s="55">
        <f>ROUND(V41*1%,0)</f>
        <v>0</v>
      </c>
      <c r="AD41" s="492">
        <v>0</v>
      </c>
      <c r="AE41" s="753">
        <f t="shared" ref="AE41:AE42" si="48">AA41+AB41+AC41+AD41</f>
        <v>0</v>
      </c>
      <c r="AF41" s="688">
        <v>0</v>
      </c>
      <c r="AG41" s="326">
        <v>0</v>
      </c>
      <c r="AH41" s="326">
        <v>0</v>
      </c>
      <c r="AI41" s="326">
        <v>0</v>
      </c>
      <c r="AJ41" s="326">
        <v>0</v>
      </c>
      <c r="AK41" s="326">
        <v>0</v>
      </c>
      <c r="AL41" s="609">
        <f t="shared" ref="AL41:AL42" si="49">SUM(AF41:AK41)</f>
        <v>0</v>
      </c>
      <c r="AM41" s="493">
        <f>I41+AE41</f>
        <v>3955877</v>
      </c>
      <c r="AN41" s="492">
        <f>J41+V41</f>
        <v>2934627</v>
      </c>
      <c r="AO41" s="573">
        <f t="shared" ref="AO41:AO42" si="50">K41+Z41</f>
        <v>0</v>
      </c>
      <c r="AP41" s="492">
        <f>L41+AB41</f>
        <v>991904</v>
      </c>
      <c r="AQ41" s="492">
        <f>M41+AC41</f>
        <v>29346</v>
      </c>
      <c r="AR41" s="492">
        <f t="shared" ref="AR41:AR42" si="51">N41+AD41</f>
        <v>0</v>
      </c>
      <c r="AS41" s="491">
        <f t="shared" ref="AS41:AS42" si="52">O41+AL41</f>
        <v>5</v>
      </c>
    </row>
    <row r="42" spans="1:45" x14ac:dyDescent="0.2">
      <c r="A42" s="136">
        <v>8</v>
      </c>
      <c r="B42" s="137">
        <v>3477</v>
      </c>
      <c r="C42" s="137">
        <v>600098451</v>
      </c>
      <c r="D42" s="137">
        <v>70695491</v>
      </c>
      <c r="E42" s="135" t="s">
        <v>94</v>
      </c>
      <c r="F42" s="137">
        <v>3111</v>
      </c>
      <c r="G42" s="138" t="s">
        <v>278</v>
      </c>
      <c r="H42" s="558" t="s">
        <v>263</v>
      </c>
      <c r="I42" s="580">
        <v>1069900</v>
      </c>
      <c r="J42" s="490">
        <v>793694</v>
      </c>
      <c r="K42" s="554">
        <v>0</v>
      </c>
      <c r="L42" s="431">
        <v>268269</v>
      </c>
      <c r="M42" s="431">
        <v>7937</v>
      </c>
      <c r="N42" s="431">
        <v>0</v>
      </c>
      <c r="O42" s="614">
        <v>2</v>
      </c>
      <c r="P42" s="440">
        <f>W42*-1</f>
        <v>0</v>
      </c>
      <c r="Q42" s="325">
        <v>0</v>
      </c>
      <c r="R42" s="325">
        <v>0</v>
      </c>
      <c r="S42" s="325">
        <v>0</v>
      </c>
      <c r="T42" s="325">
        <v>0</v>
      </c>
      <c r="U42" s="325">
        <v>0</v>
      </c>
      <c r="V42" s="492">
        <f t="shared" si="44"/>
        <v>0</v>
      </c>
      <c r="W42" s="325">
        <v>0</v>
      </c>
      <c r="X42" s="325">
        <v>0</v>
      </c>
      <c r="Y42" s="325">
        <v>0</v>
      </c>
      <c r="Z42" s="492">
        <f t="shared" si="45"/>
        <v>0</v>
      </c>
      <c r="AA42" s="492">
        <f t="shared" si="46"/>
        <v>0</v>
      </c>
      <c r="AB42" s="494">
        <f t="shared" si="47"/>
        <v>0</v>
      </c>
      <c r="AC42" s="55">
        <f>ROUND(V42*1%,0)</f>
        <v>0</v>
      </c>
      <c r="AD42" s="492">
        <v>0</v>
      </c>
      <c r="AE42" s="753">
        <f t="shared" si="48"/>
        <v>0</v>
      </c>
      <c r="AF42" s="688">
        <v>0</v>
      </c>
      <c r="AG42" s="326">
        <v>0</v>
      </c>
      <c r="AH42" s="326">
        <v>0</v>
      </c>
      <c r="AI42" s="326">
        <v>0</v>
      </c>
      <c r="AJ42" s="326">
        <v>0</v>
      </c>
      <c r="AK42" s="326">
        <v>0</v>
      </c>
      <c r="AL42" s="609">
        <f t="shared" si="49"/>
        <v>0</v>
      </c>
      <c r="AM42" s="493">
        <f>I42+AE42</f>
        <v>1069900</v>
      </c>
      <c r="AN42" s="492">
        <f>J42+V42</f>
        <v>793694</v>
      </c>
      <c r="AO42" s="573">
        <f t="shared" si="50"/>
        <v>0</v>
      </c>
      <c r="AP42" s="492">
        <f>L42+AB42</f>
        <v>268269</v>
      </c>
      <c r="AQ42" s="492">
        <f>M42+AC42</f>
        <v>7937</v>
      </c>
      <c r="AR42" s="492">
        <f t="shared" si="51"/>
        <v>0</v>
      </c>
      <c r="AS42" s="491">
        <f t="shared" si="52"/>
        <v>2</v>
      </c>
    </row>
    <row r="43" spans="1:45" x14ac:dyDescent="0.2">
      <c r="A43" s="107">
        <v>8</v>
      </c>
      <c r="B43" s="15">
        <v>3477</v>
      </c>
      <c r="C43" s="15">
        <v>600098451</v>
      </c>
      <c r="D43" s="15">
        <v>70695491</v>
      </c>
      <c r="E43" s="116" t="s">
        <v>95</v>
      </c>
      <c r="F43" s="15"/>
      <c r="G43" s="106"/>
      <c r="H43" s="555"/>
      <c r="I43" s="758">
        <v>5025777</v>
      </c>
      <c r="J43" s="343">
        <v>3728321</v>
      </c>
      <c r="K43" s="343">
        <v>0</v>
      </c>
      <c r="L43" s="343">
        <v>1260173</v>
      </c>
      <c r="M43" s="343">
        <v>37283</v>
      </c>
      <c r="N43" s="343">
        <v>0</v>
      </c>
      <c r="O43" s="35">
        <v>7</v>
      </c>
      <c r="P43" s="346">
        <f t="shared" ref="P43:AS43" si="53">SUM(P41:P42)</f>
        <v>0</v>
      </c>
      <c r="Q43" s="343">
        <f t="shared" si="53"/>
        <v>0</v>
      </c>
      <c r="R43" s="343">
        <f t="shared" si="53"/>
        <v>0</v>
      </c>
      <c r="S43" s="343">
        <f t="shared" si="53"/>
        <v>0</v>
      </c>
      <c r="T43" s="343">
        <f t="shared" si="53"/>
        <v>0</v>
      </c>
      <c r="U43" s="343">
        <f t="shared" si="53"/>
        <v>0</v>
      </c>
      <c r="V43" s="343">
        <f t="shared" si="53"/>
        <v>0</v>
      </c>
      <c r="W43" s="343">
        <f t="shared" si="53"/>
        <v>0</v>
      </c>
      <c r="X43" s="343">
        <f t="shared" si="53"/>
        <v>0</v>
      </c>
      <c r="Y43" s="343">
        <f t="shared" si="53"/>
        <v>0</v>
      </c>
      <c r="Z43" s="343">
        <f t="shared" si="53"/>
        <v>0</v>
      </c>
      <c r="AA43" s="343">
        <f t="shared" si="53"/>
        <v>0</v>
      </c>
      <c r="AB43" s="343">
        <f t="shared" si="53"/>
        <v>0</v>
      </c>
      <c r="AC43" s="343">
        <f t="shared" si="53"/>
        <v>0</v>
      </c>
      <c r="AD43" s="343">
        <f t="shared" si="53"/>
        <v>0</v>
      </c>
      <c r="AE43" s="763">
        <f t="shared" si="53"/>
        <v>0</v>
      </c>
      <c r="AF43" s="767">
        <f t="shared" si="53"/>
        <v>0</v>
      </c>
      <c r="AG43" s="344">
        <f t="shared" si="53"/>
        <v>0</v>
      </c>
      <c r="AH43" s="344">
        <f t="shared" si="53"/>
        <v>0</v>
      </c>
      <c r="AI43" s="344">
        <f t="shared" si="53"/>
        <v>0</v>
      </c>
      <c r="AJ43" s="344">
        <f t="shared" si="53"/>
        <v>0</v>
      </c>
      <c r="AK43" s="344">
        <f t="shared" si="53"/>
        <v>0</v>
      </c>
      <c r="AL43" s="35">
        <f t="shared" si="53"/>
        <v>0</v>
      </c>
      <c r="AM43" s="346">
        <f t="shared" si="53"/>
        <v>5025777</v>
      </c>
      <c r="AN43" s="343">
        <f t="shared" si="53"/>
        <v>3728321</v>
      </c>
      <c r="AO43" s="343">
        <f t="shared" si="53"/>
        <v>0</v>
      </c>
      <c r="AP43" s="343">
        <f t="shared" si="53"/>
        <v>1260173</v>
      </c>
      <c r="AQ43" s="343">
        <f t="shared" si="53"/>
        <v>37283</v>
      </c>
      <c r="AR43" s="343">
        <f t="shared" si="53"/>
        <v>0</v>
      </c>
      <c r="AS43" s="344">
        <f t="shared" si="53"/>
        <v>7</v>
      </c>
    </row>
    <row r="44" spans="1:45" x14ac:dyDescent="0.2">
      <c r="A44" s="136">
        <v>9</v>
      </c>
      <c r="B44" s="137">
        <v>3476</v>
      </c>
      <c r="C44" s="137">
        <v>600099164</v>
      </c>
      <c r="D44" s="137">
        <v>854808</v>
      </c>
      <c r="E44" s="135" t="s">
        <v>96</v>
      </c>
      <c r="F44" s="137">
        <v>3113</v>
      </c>
      <c r="G44" s="138" t="s">
        <v>280</v>
      </c>
      <c r="H44" s="558" t="s">
        <v>262</v>
      </c>
      <c r="I44" s="610">
        <v>9737808</v>
      </c>
      <c r="J44" s="554">
        <v>7223893</v>
      </c>
      <c r="K44" s="554">
        <v>0</v>
      </c>
      <c r="L44" s="431">
        <v>2441676</v>
      </c>
      <c r="M44" s="431">
        <v>72239</v>
      </c>
      <c r="N44" s="431">
        <v>0</v>
      </c>
      <c r="O44" s="611">
        <v>10.79</v>
      </c>
      <c r="P44" s="445">
        <f>W44*-1</f>
        <v>0</v>
      </c>
      <c r="Q44" s="325">
        <v>0</v>
      </c>
      <c r="R44" s="325">
        <v>0</v>
      </c>
      <c r="S44" s="325">
        <v>0</v>
      </c>
      <c r="T44" s="325">
        <v>0</v>
      </c>
      <c r="U44" s="325">
        <v>0</v>
      </c>
      <c r="V44" s="492">
        <f t="shared" ref="V44:V46" si="54">P44+Q44+R44+S44+T44+U44</f>
        <v>0</v>
      </c>
      <c r="W44" s="325">
        <v>0</v>
      </c>
      <c r="X44" s="325">
        <v>0</v>
      </c>
      <c r="Y44" s="325">
        <v>0</v>
      </c>
      <c r="Z44" s="492">
        <f t="shared" ref="Z44:Z46" si="55">W44+X44+Y44</f>
        <v>0</v>
      </c>
      <c r="AA44" s="492">
        <f t="shared" ref="AA44:AA46" si="56">V44+Z44</f>
        <v>0</v>
      </c>
      <c r="AB44" s="494">
        <f t="shared" ref="AB44:AB46" si="57">ROUND((V44+Z44)*33.8%,0)</f>
        <v>0</v>
      </c>
      <c r="AC44" s="55">
        <f>ROUND(V44*1%,0)</f>
        <v>0</v>
      </c>
      <c r="AD44" s="492">
        <v>0</v>
      </c>
      <c r="AE44" s="753">
        <f t="shared" ref="AE44:AE46" si="58">AA44+AB44+AC44+AD44</f>
        <v>0</v>
      </c>
      <c r="AF44" s="688">
        <v>0</v>
      </c>
      <c r="AG44" s="326">
        <v>0</v>
      </c>
      <c r="AH44" s="326">
        <v>0</v>
      </c>
      <c r="AI44" s="326">
        <v>0</v>
      </c>
      <c r="AJ44" s="326">
        <v>0</v>
      </c>
      <c r="AK44" s="326">
        <v>0</v>
      </c>
      <c r="AL44" s="609">
        <f t="shared" ref="AL44:AL46" si="59">SUM(AF44:AK44)</f>
        <v>0</v>
      </c>
      <c r="AM44" s="493">
        <f>I44+AE44</f>
        <v>9737808</v>
      </c>
      <c r="AN44" s="492">
        <f>J44+V44</f>
        <v>7223893</v>
      </c>
      <c r="AO44" s="573">
        <f t="shared" ref="AO44:AO46" si="60">K44+Z44</f>
        <v>0</v>
      </c>
      <c r="AP44" s="492">
        <f t="shared" ref="AP44:AR46" si="61">L44+AB44</f>
        <v>2441676</v>
      </c>
      <c r="AQ44" s="492">
        <f t="shared" si="61"/>
        <v>72239</v>
      </c>
      <c r="AR44" s="492">
        <f t="shared" si="61"/>
        <v>0</v>
      </c>
      <c r="AS44" s="491">
        <f t="shared" ref="AS44:AS46" si="62">O44+AL44</f>
        <v>10.79</v>
      </c>
    </row>
    <row r="45" spans="1:45" x14ac:dyDescent="0.2">
      <c r="A45" s="136">
        <v>9</v>
      </c>
      <c r="B45" s="137">
        <v>3476</v>
      </c>
      <c r="C45" s="137">
        <v>600099164</v>
      </c>
      <c r="D45" s="137">
        <v>854808</v>
      </c>
      <c r="E45" s="135" t="s">
        <v>96</v>
      </c>
      <c r="F45" s="137">
        <v>3113</v>
      </c>
      <c r="G45" s="138" t="s">
        <v>278</v>
      </c>
      <c r="H45" s="558" t="s">
        <v>263</v>
      </c>
      <c r="I45" s="580">
        <v>570659</v>
      </c>
      <c r="J45" s="490">
        <v>423338</v>
      </c>
      <c r="K45" s="554">
        <v>0</v>
      </c>
      <c r="L45" s="431">
        <v>143088</v>
      </c>
      <c r="M45" s="431">
        <v>4233</v>
      </c>
      <c r="N45" s="431">
        <v>0</v>
      </c>
      <c r="O45" s="614">
        <v>1.05</v>
      </c>
      <c r="P45" s="440">
        <f>W45*-1</f>
        <v>0</v>
      </c>
      <c r="Q45" s="325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 t="shared" si="54"/>
        <v>0</v>
      </c>
      <c r="W45" s="325">
        <v>0</v>
      </c>
      <c r="X45" s="325">
        <v>0</v>
      </c>
      <c r="Y45" s="325">
        <v>0</v>
      </c>
      <c r="Z45" s="492">
        <f t="shared" si="55"/>
        <v>0</v>
      </c>
      <c r="AA45" s="492">
        <f t="shared" si="56"/>
        <v>0</v>
      </c>
      <c r="AB45" s="494">
        <f t="shared" si="57"/>
        <v>0</v>
      </c>
      <c r="AC45" s="55">
        <f>ROUND(V45*1%,0)</f>
        <v>0</v>
      </c>
      <c r="AD45" s="492">
        <v>0</v>
      </c>
      <c r="AE45" s="753">
        <f t="shared" si="58"/>
        <v>0</v>
      </c>
      <c r="AF45" s="688">
        <v>0</v>
      </c>
      <c r="AG45" s="326">
        <v>0</v>
      </c>
      <c r="AH45" s="326">
        <v>0</v>
      </c>
      <c r="AI45" s="326">
        <v>0</v>
      </c>
      <c r="AJ45" s="326">
        <v>0</v>
      </c>
      <c r="AK45" s="326">
        <v>0</v>
      </c>
      <c r="AL45" s="609">
        <f t="shared" si="59"/>
        <v>0</v>
      </c>
      <c r="AM45" s="493">
        <f>I45+AE45</f>
        <v>570659</v>
      </c>
      <c r="AN45" s="492">
        <f>J45+V45</f>
        <v>423338</v>
      </c>
      <c r="AO45" s="573">
        <f t="shared" si="60"/>
        <v>0</v>
      </c>
      <c r="AP45" s="492">
        <f t="shared" si="61"/>
        <v>143088</v>
      </c>
      <c r="AQ45" s="492">
        <f t="shared" si="61"/>
        <v>4233</v>
      </c>
      <c r="AR45" s="492">
        <f t="shared" si="61"/>
        <v>0</v>
      </c>
      <c r="AS45" s="491">
        <f t="shared" si="62"/>
        <v>1.05</v>
      </c>
    </row>
    <row r="46" spans="1:45" x14ac:dyDescent="0.2">
      <c r="A46" s="136">
        <v>9</v>
      </c>
      <c r="B46" s="137">
        <v>3476</v>
      </c>
      <c r="C46" s="137">
        <v>600099164</v>
      </c>
      <c r="D46" s="137">
        <v>854808</v>
      </c>
      <c r="E46" s="135" t="s">
        <v>96</v>
      </c>
      <c r="F46" s="137">
        <v>3143</v>
      </c>
      <c r="G46" s="138" t="s">
        <v>794</v>
      </c>
      <c r="H46" s="157" t="s">
        <v>262</v>
      </c>
      <c r="I46" s="580">
        <v>644072</v>
      </c>
      <c r="J46" s="490">
        <v>477798</v>
      </c>
      <c r="K46" s="554">
        <v>0</v>
      </c>
      <c r="L46" s="431">
        <v>161496</v>
      </c>
      <c r="M46" s="431">
        <v>4778</v>
      </c>
      <c r="N46" s="431">
        <v>0</v>
      </c>
      <c r="O46" s="614">
        <v>0.89</v>
      </c>
      <c r="P46" s="440">
        <f>W46*-1</f>
        <v>0</v>
      </c>
      <c r="Q46" s="325">
        <v>0</v>
      </c>
      <c r="R46" s="325">
        <v>0</v>
      </c>
      <c r="S46" s="325">
        <v>0</v>
      </c>
      <c r="T46" s="325">
        <v>0</v>
      </c>
      <c r="U46" s="325">
        <v>0</v>
      </c>
      <c r="V46" s="492">
        <f t="shared" si="54"/>
        <v>0</v>
      </c>
      <c r="W46" s="325">
        <v>0</v>
      </c>
      <c r="X46" s="325">
        <v>0</v>
      </c>
      <c r="Y46" s="325">
        <v>0</v>
      </c>
      <c r="Z46" s="492">
        <f t="shared" si="55"/>
        <v>0</v>
      </c>
      <c r="AA46" s="492">
        <f t="shared" si="56"/>
        <v>0</v>
      </c>
      <c r="AB46" s="494">
        <f t="shared" si="57"/>
        <v>0</v>
      </c>
      <c r="AC46" s="55">
        <f>ROUND(V46*1%,0)</f>
        <v>0</v>
      </c>
      <c r="AD46" s="492">
        <v>0</v>
      </c>
      <c r="AE46" s="753">
        <f t="shared" si="58"/>
        <v>0</v>
      </c>
      <c r="AF46" s="688">
        <v>0</v>
      </c>
      <c r="AG46" s="326">
        <v>0</v>
      </c>
      <c r="AH46" s="326">
        <v>0</v>
      </c>
      <c r="AI46" s="326">
        <v>0</v>
      </c>
      <c r="AJ46" s="326">
        <v>0</v>
      </c>
      <c r="AK46" s="326">
        <v>0</v>
      </c>
      <c r="AL46" s="609">
        <f t="shared" si="59"/>
        <v>0</v>
      </c>
      <c r="AM46" s="493">
        <f>I46+AE46</f>
        <v>644072</v>
      </c>
      <c r="AN46" s="492">
        <f>J46+V46</f>
        <v>477798</v>
      </c>
      <c r="AO46" s="573">
        <f t="shared" si="60"/>
        <v>0</v>
      </c>
      <c r="AP46" s="492">
        <f t="shared" si="61"/>
        <v>161496</v>
      </c>
      <c r="AQ46" s="492">
        <f t="shared" si="61"/>
        <v>4778</v>
      </c>
      <c r="AR46" s="492">
        <f t="shared" si="61"/>
        <v>0</v>
      </c>
      <c r="AS46" s="491">
        <f t="shared" si="62"/>
        <v>0.89</v>
      </c>
    </row>
    <row r="47" spans="1:45" x14ac:dyDescent="0.2">
      <c r="A47" s="107">
        <v>9</v>
      </c>
      <c r="B47" s="15">
        <v>3476</v>
      </c>
      <c r="C47" s="15">
        <v>600099164</v>
      </c>
      <c r="D47" s="15">
        <v>854808</v>
      </c>
      <c r="E47" s="116" t="s">
        <v>97</v>
      </c>
      <c r="F47" s="15"/>
      <c r="G47" s="106"/>
      <c r="H47" s="555"/>
      <c r="I47" s="757">
        <v>10952539</v>
      </c>
      <c r="J47" s="341">
        <v>8125029</v>
      </c>
      <c r="K47" s="341">
        <v>0</v>
      </c>
      <c r="L47" s="341">
        <v>2746260</v>
      </c>
      <c r="M47" s="341">
        <v>81250</v>
      </c>
      <c r="N47" s="341">
        <v>0</v>
      </c>
      <c r="O47" s="36">
        <v>12.73</v>
      </c>
      <c r="P47" s="345">
        <f t="shared" ref="P47:AS47" si="63">SUM(P44:P46)</f>
        <v>0</v>
      </c>
      <c r="Q47" s="341">
        <f t="shared" si="63"/>
        <v>0</v>
      </c>
      <c r="R47" s="341">
        <f t="shared" si="63"/>
        <v>0</v>
      </c>
      <c r="S47" s="341">
        <f t="shared" si="63"/>
        <v>0</v>
      </c>
      <c r="T47" s="341">
        <f t="shared" si="63"/>
        <v>0</v>
      </c>
      <c r="U47" s="341">
        <f t="shared" si="63"/>
        <v>0</v>
      </c>
      <c r="V47" s="341">
        <f t="shared" si="63"/>
        <v>0</v>
      </c>
      <c r="W47" s="341">
        <f t="shared" si="63"/>
        <v>0</v>
      </c>
      <c r="X47" s="341">
        <f t="shared" si="63"/>
        <v>0</v>
      </c>
      <c r="Y47" s="341">
        <f t="shared" si="63"/>
        <v>0</v>
      </c>
      <c r="Z47" s="341">
        <f t="shared" si="63"/>
        <v>0</v>
      </c>
      <c r="AA47" s="341">
        <f t="shared" si="63"/>
        <v>0</v>
      </c>
      <c r="AB47" s="341">
        <f t="shared" si="63"/>
        <v>0</v>
      </c>
      <c r="AC47" s="341">
        <f t="shared" si="63"/>
        <v>0</v>
      </c>
      <c r="AD47" s="341">
        <f t="shared" si="63"/>
        <v>0</v>
      </c>
      <c r="AE47" s="762">
        <f t="shared" si="63"/>
        <v>0</v>
      </c>
      <c r="AF47" s="766">
        <f t="shared" si="63"/>
        <v>0</v>
      </c>
      <c r="AG47" s="342">
        <f t="shared" si="63"/>
        <v>0</v>
      </c>
      <c r="AH47" s="342">
        <f t="shared" si="63"/>
        <v>0</v>
      </c>
      <c r="AI47" s="342">
        <f t="shared" si="63"/>
        <v>0</v>
      </c>
      <c r="AJ47" s="342">
        <f t="shared" si="63"/>
        <v>0</v>
      </c>
      <c r="AK47" s="342">
        <f t="shared" si="63"/>
        <v>0</v>
      </c>
      <c r="AL47" s="36">
        <f t="shared" si="63"/>
        <v>0</v>
      </c>
      <c r="AM47" s="345">
        <f t="shared" si="63"/>
        <v>10952539</v>
      </c>
      <c r="AN47" s="341">
        <f t="shared" si="63"/>
        <v>8125029</v>
      </c>
      <c r="AO47" s="341">
        <f t="shared" si="63"/>
        <v>0</v>
      </c>
      <c r="AP47" s="341">
        <f t="shared" si="63"/>
        <v>2746260</v>
      </c>
      <c r="AQ47" s="341">
        <f t="shared" si="63"/>
        <v>81250</v>
      </c>
      <c r="AR47" s="341">
        <f t="shared" si="63"/>
        <v>0</v>
      </c>
      <c r="AS47" s="342">
        <f t="shared" si="63"/>
        <v>12.73</v>
      </c>
    </row>
    <row r="48" spans="1:45" x14ac:dyDescent="0.2">
      <c r="A48" s="136">
        <v>10</v>
      </c>
      <c r="B48" s="137">
        <v>3424</v>
      </c>
      <c r="C48" s="137">
        <v>650040384</v>
      </c>
      <c r="D48" s="137">
        <v>72744561</v>
      </c>
      <c r="E48" s="135" t="s">
        <v>98</v>
      </c>
      <c r="F48" s="137">
        <v>3111</v>
      </c>
      <c r="G48" s="138" t="s">
        <v>277</v>
      </c>
      <c r="H48" s="558" t="s">
        <v>262</v>
      </c>
      <c r="I48" s="610">
        <v>1476093</v>
      </c>
      <c r="J48" s="554">
        <v>1095025</v>
      </c>
      <c r="K48" s="554">
        <v>0</v>
      </c>
      <c r="L48" s="431">
        <v>370118</v>
      </c>
      <c r="M48" s="431">
        <v>10950</v>
      </c>
      <c r="N48" s="431">
        <v>0</v>
      </c>
      <c r="O48" s="611">
        <v>2</v>
      </c>
      <c r="P48" s="445">
        <f>W48*-1</f>
        <v>0</v>
      </c>
      <c r="Q48" s="325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 t="shared" ref="V48:V51" si="64">P48+Q48+R48+S48+T48+U48</f>
        <v>0</v>
      </c>
      <c r="W48" s="325">
        <v>0</v>
      </c>
      <c r="X48" s="325">
        <v>0</v>
      </c>
      <c r="Y48" s="325">
        <v>0</v>
      </c>
      <c r="Z48" s="492">
        <f t="shared" ref="Z48:Z51" si="65">W48+X48+Y48</f>
        <v>0</v>
      </c>
      <c r="AA48" s="492">
        <f t="shared" ref="AA48:AA51" si="66">V48+Z48</f>
        <v>0</v>
      </c>
      <c r="AB48" s="494">
        <f t="shared" ref="AB48:AB51" si="67">ROUND((V48+Z48)*33.8%,0)</f>
        <v>0</v>
      </c>
      <c r="AC48" s="55">
        <f>ROUND(V48*1%,0)</f>
        <v>0</v>
      </c>
      <c r="AD48" s="492">
        <v>0</v>
      </c>
      <c r="AE48" s="753">
        <f t="shared" ref="AE48:AE51" si="68">AA48+AB48+AC48+AD48</f>
        <v>0</v>
      </c>
      <c r="AF48" s="688">
        <v>0</v>
      </c>
      <c r="AG48" s="326">
        <v>0</v>
      </c>
      <c r="AH48" s="326">
        <v>0</v>
      </c>
      <c r="AI48" s="326">
        <v>0</v>
      </c>
      <c r="AJ48" s="326">
        <v>0</v>
      </c>
      <c r="AK48" s="326">
        <v>0</v>
      </c>
      <c r="AL48" s="609">
        <f t="shared" ref="AL48:AL51" si="69">SUM(AF48:AK48)</f>
        <v>0</v>
      </c>
      <c r="AM48" s="493">
        <f>I48+AE48</f>
        <v>1476093</v>
      </c>
      <c r="AN48" s="492">
        <f>J48+V48</f>
        <v>1095025</v>
      </c>
      <c r="AO48" s="573">
        <f t="shared" ref="AO48:AO51" si="70">K48+Z48</f>
        <v>0</v>
      </c>
      <c r="AP48" s="492">
        <f t="shared" ref="AP48:AR51" si="71">L48+AB48</f>
        <v>370118</v>
      </c>
      <c r="AQ48" s="492">
        <f t="shared" si="71"/>
        <v>10950</v>
      </c>
      <c r="AR48" s="492">
        <f t="shared" si="71"/>
        <v>0</v>
      </c>
      <c r="AS48" s="491">
        <f t="shared" ref="AS48:AS51" si="72">O48+AL48</f>
        <v>2</v>
      </c>
    </row>
    <row r="49" spans="1:45" x14ac:dyDescent="0.2">
      <c r="A49" s="136">
        <v>10</v>
      </c>
      <c r="B49" s="137">
        <v>3424</v>
      </c>
      <c r="C49" s="137">
        <v>650040384</v>
      </c>
      <c r="D49" s="137">
        <v>72744561</v>
      </c>
      <c r="E49" s="135" t="s">
        <v>98</v>
      </c>
      <c r="F49" s="137">
        <v>3117</v>
      </c>
      <c r="G49" s="138" t="s">
        <v>280</v>
      </c>
      <c r="H49" s="558" t="s">
        <v>262</v>
      </c>
      <c r="I49" s="580">
        <v>2860389</v>
      </c>
      <c r="J49" s="490">
        <v>2121950</v>
      </c>
      <c r="K49" s="554">
        <v>0</v>
      </c>
      <c r="L49" s="431">
        <v>717219</v>
      </c>
      <c r="M49" s="431">
        <v>21220</v>
      </c>
      <c r="N49" s="431">
        <v>0</v>
      </c>
      <c r="O49" s="614">
        <v>2.86</v>
      </c>
      <c r="P49" s="440">
        <f>W49*-1</f>
        <v>0</v>
      </c>
      <c r="Q49" s="325">
        <v>0</v>
      </c>
      <c r="R49" s="325">
        <v>0</v>
      </c>
      <c r="S49" s="325">
        <v>0</v>
      </c>
      <c r="T49" s="325">
        <v>0</v>
      </c>
      <c r="U49" s="325">
        <v>0</v>
      </c>
      <c r="V49" s="492">
        <f t="shared" si="64"/>
        <v>0</v>
      </c>
      <c r="W49" s="325">
        <v>0</v>
      </c>
      <c r="X49" s="325">
        <v>0</v>
      </c>
      <c r="Y49" s="325">
        <v>0</v>
      </c>
      <c r="Z49" s="492">
        <f t="shared" si="65"/>
        <v>0</v>
      </c>
      <c r="AA49" s="492">
        <f t="shared" si="66"/>
        <v>0</v>
      </c>
      <c r="AB49" s="494">
        <f t="shared" si="67"/>
        <v>0</v>
      </c>
      <c r="AC49" s="55">
        <f>ROUND(V49*1%,0)</f>
        <v>0</v>
      </c>
      <c r="AD49" s="492">
        <v>0</v>
      </c>
      <c r="AE49" s="753">
        <f t="shared" si="68"/>
        <v>0</v>
      </c>
      <c r="AF49" s="688">
        <v>0</v>
      </c>
      <c r="AG49" s="326">
        <v>0</v>
      </c>
      <c r="AH49" s="326">
        <v>0</v>
      </c>
      <c r="AI49" s="326">
        <v>0</v>
      </c>
      <c r="AJ49" s="326">
        <v>0</v>
      </c>
      <c r="AK49" s="326">
        <v>0</v>
      </c>
      <c r="AL49" s="609">
        <f t="shared" si="69"/>
        <v>0</v>
      </c>
      <c r="AM49" s="493">
        <f>I49+AE49</f>
        <v>2860389</v>
      </c>
      <c r="AN49" s="492">
        <f>J49+V49</f>
        <v>2121950</v>
      </c>
      <c r="AO49" s="573">
        <f t="shared" si="70"/>
        <v>0</v>
      </c>
      <c r="AP49" s="492">
        <f t="shared" si="71"/>
        <v>717219</v>
      </c>
      <c r="AQ49" s="492">
        <f t="shared" si="71"/>
        <v>21220</v>
      </c>
      <c r="AR49" s="492">
        <f t="shared" si="71"/>
        <v>0</v>
      </c>
      <c r="AS49" s="491">
        <f t="shared" si="72"/>
        <v>2.86</v>
      </c>
    </row>
    <row r="50" spans="1:45" x14ac:dyDescent="0.2">
      <c r="A50" s="136">
        <v>10</v>
      </c>
      <c r="B50" s="137">
        <v>3424</v>
      </c>
      <c r="C50" s="137">
        <v>650040384</v>
      </c>
      <c r="D50" s="137">
        <v>72744561</v>
      </c>
      <c r="E50" s="135" t="s">
        <v>98</v>
      </c>
      <c r="F50" s="137">
        <v>3117</v>
      </c>
      <c r="G50" s="138" t="s">
        <v>278</v>
      </c>
      <c r="H50" s="558" t="s">
        <v>263</v>
      </c>
      <c r="I50" s="580">
        <v>609256</v>
      </c>
      <c r="J50" s="490">
        <v>451970</v>
      </c>
      <c r="K50" s="554">
        <v>0</v>
      </c>
      <c r="L50" s="431">
        <v>152766</v>
      </c>
      <c r="M50" s="431">
        <v>4520</v>
      </c>
      <c r="N50" s="431">
        <v>0</v>
      </c>
      <c r="O50" s="614">
        <v>1.1399999999999999</v>
      </c>
      <c r="P50" s="440">
        <f>W50*-1</f>
        <v>0</v>
      </c>
      <c r="Q50" s="325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 t="shared" si="64"/>
        <v>0</v>
      </c>
      <c r="W50" s="325">
        <v>0</v>
      </c>
      <c r="X50" s="325">
        <v>0</v>
      </c>
      <c r="Y50" s="325">
        <v>0</v>
      </c>
      <c r="Z50" s="492">
        <f t="shared" si="65"/>
        <v>0</v>
      </c>
      <c r="AA50" s="492">
        <f t="shared" si="66"/>
        <v>0</v>
      </c>
      <c r="AB50" s="494">
        <f t="shared" si="67"/>
        <v>0</v>
      </c>
      <c r="AC50" s="55">
        <f>ROUND(V50*1%,0)</f>
        <v>0</v>
      </c>
      <c r="AD50" s="492">
        <v>0</v>
      </c>
      <c r="AE50" s="753">
        <f t="shared" si="68"/>
        <v>0</v>
      </c>
      <c r="AF50" s="688">
        <v>0</v>
      </c>
      <c r="AG50" s="326">
        <v>0</v>
      </c>
      <c r="AH50" s="326">
        <v>0</v>
      </c>
      <c r="AI50" s="326">
        <v>0</v>
      </c>
      <c r="AJ50" s="326">
        <v>0</v>
      </c>
      <c r="AK50" s="326">
        <v>0</v>
      </c>
      <c r="AL50" s="609">
        <f t="shared" si="69"/>
        <v>0</v>
      </c>
      <c r="AM50" s="493">
        <f>I50+AE50</f>
        <v>609256</v>
      </c>
      <c r="AN50" s="492">
        <f>J50+V50</f>
        <v>451970</v>
      </c>
      <c r="AO50" s="573">
        <f t="shared" si="70"/>
        <v>0</v>
      </c>
      <c r="AP50" s="492">
        <f t="shared" si="71"/>
        <v>152766</v>
      </c>
      <c r="AQ50" s="492">
        <f t="shared" si="71"/>
        <v>4520</v>
      </c>
      <c r="AR50" s="492">
        <f t="shared" si="71"/>
        <v>0</v>
      </c>
      <c r="AS50" s="491">
        <f t="shared" si="72"/>
        <v>1.1399999999999999</v>
      </c>
    </row>
    <row r="51" spans="1:45" x14ac:dyDescent="0.2">
      <c r="A51" s="136">
        <v>10</v>
      </c>
      <c r="B51" s="137">
        <v>3424</v>
      </c>
      <c r="C51" s="137">
        <v>650040384</v>
      </c>
      <c r="D51" s="137">
        <v>72744561</v>
      </c>
      <c r="E51" s="135" t="s">
        <v>98</v>
      </c>
      <c r="F51" s="137">
        <v>3143</v>
      </c>
      <c r="G51" s="138" t="s">
        <v>795</v>
      </c>
      <c r="H51" s="157" t="s">
        <v>262</v>
      </c>
      <c r="I51" s="580">
        <v>653149</v>
      </c>
      <c r="J51" s="490">
        <v>484532</v>
      </c>
      <c r="K51" s="554">
        <v>0</v>
      </c>
      <c r="L51" s="431">
        <v>163772</v>
      </c>
      <c r="M51" s="431">
        <v>4845</v>
      </c>
      <c r="N51" s="431">
        <v>0</v>
      </c>
      <c r="O51" s="614">
        <v>0.86</v>
      </c>
      <c r="P51" s="440">
        <f>W51*-1</f>
        <v>0</v>
      </c>
      <c r="Q51" s="325">
        <v>0</v>
      </c>
      <c r="R51" s="325">
        <v>0</v>
      </c>
      <c r="S51" s="325">
        <v>0</v>
      </c>
      <c r="T51" s="325">
        <v>0</v>
      </c>
      <c r="U51" s="325">
        <v>0</v>
      </c>
      <c r="V51" s="492">
        <f t="shared" si="64"/>
        <v>0</v>
      </c>
      <c r="W51" s="325">
        <v>0</v>
      </c>
      <c r="X51" s="325">
        <v>0</v>
      </c>
      <c r="Y51" s="325">
        <v>0</v>
      </c>
      <c r="Z51" s="492">
        <f t="shared" si="65"/>
        <v>0</v>
      </c>
      <c r="AA51" s="492">
        <f t="shared" si="66"/>
        <v>0</v>
      </c>
      <c r="AB51" s="494">
        <f t="shared" si="67"/>
        <v>0</v>
      </c>
      <c r="AC51" s="55">
        <f>ROUND(V51*1%,0)</f>
        <v>0</v>
      </c>
      <c r="AD51" s="492">
        <v>0</v>
      </c>
      <c r="AE51" s="753">
        <f t="shared" si="68"/>
        <v>0</v>
      </c>
      <c r="AF51" s="688">
        <v>0</v>
      </c>
      <c r="AG51" s="326">
        <v>0</v>
      </c>
      <c r="AH51" s="326">
        <v>0</v>
      </c>
      <c r="AI51" s="326">
        <v>0</v>
      </c>
      <c r="AJ51" s="326">
        <v>0</v>
      </c>
      <c r="AK51" s="326">
        <v>0</v>
      </c>
      <c r="AL51" s="609">
        <f t="shared" si="69"/>
        <v>0</v>
      </c>
      <c r="AM51" s="493">
        <f>I51+AE51</f>
        <v>653149</v>
      </c>
      <c r="AN51" s="492">
        <f>J51+V51</f>
        <v>484532</v>
      </c>
      <c r="AO51" s="573">
        <f t="shared" si="70"/>
        <v>0</v>
      </c>
      <c r="AP51" s="492">
        <f t="shared" si="71"/>
        <v>163772</v>
      </c>
      <c r="AQ51" s="492">
        <f t="shared" si="71"/>
        <v>4845</v>
      </c>
      <c r="AR51" s="492">
        <f t="shared" si="71"/>
        <v>0</v>
      </c>
      <c r="AS51" s="491">
        <f t="shared" si="72"/>
        <v>0.86</v>
      </c>
    </row>
    <row r="52" spans="1:45" x14ac:dyDescent="0.2">
      <c r="A52" s="107">
        <v>10</v>
      </c>
      <c r="B52" s="15">
        <v>3424</v>
      </c>
      <c r="C52" s="15">
        <v>650040384</v>
      </c>
      <c r="D52" s="15">
        <v>72744561</v>
      </c>
      <c r="E52" s="116" t="s">
        <v>99</v>
      </c>
      <c r="F52" s="15"/>
      <c r="G52" s="106"/>
      <c r="H52" s="555"/>
      <c r="I52" s="757">
        <v>5598887</v>
      </c>
      <c r="J52" s="341">
        <v>4153477</v>
      </c>
      <c r="K52" s="341">
        <v>0</v>
      </c>
      <c r="L52" s="341">
        <v>1403875</v>
      </c>
      <c r="M52" s="341">
        <v>41535</v>
      </c>
      <c r="N52" s="341">
        <v>0</v>
      </c>
      <c r="O52" s="36">
        <v>6.8599999999999994</v>
      </c>
      <c r="P52" s="345">
        <f t="shared" ref="P52:AS52" si="73">SUM(P48:P51)</f>
        <v>0</v>
      </c>
      <c r="Q52" s="341">
        <f t="shared" si="73"/>
        <v>0</v>
      </c>
      <c r="R52" s="341">
        <f t="shared" si="73"/>
        <v>0</v>
      </c>
      <c r="S52" s="341">
        <f t="shared" si="73"/>
        <v>0</v>
      </c>
      <c r="T52" s="341">
        <f t="shared" si="73"/>
        <v>0</v>
      </c>
      <c r="U52" s="341">
        <f t="shared" si="73"/>
        <v>0</v>
      </c>
      <c r="V52" s="341">
        <f t="shared" si="73"/>
        <v>0</v>
      </c>
      <c r="W52" s="341">
        <f t="shared" si="73"/>
        <v>0</v>
      </c>
      <c r="X52" s="341">
        <f t="shared" si="73"/>
        <v>0</v>
      </c>
      <c r="Y52" s="341">
        <f t="shared" si="73"/>
        <v>0</v>
      </c>
      <c r="Z52" s="341">
        <f t="shared" si="73"/>
        <v>0</v>
      </c>
      <c r="AA52" s="341">
        <f t="shared" si="73"/>
        <v>0</v>
      </c>
      <c r="AB52" s="341">
        <f t="shared" si="73"/>
        <v>0</v>
      </c>
      <c r="AC52" s="341">
        <f t="shared" si="73"/>
        <v>0</v>
      </c>
      <c r="AD52" s="341">
        <f t="shared" si="73"/>
        <v>0</v>
      </c>
      <c r="AE52" s="762">
        <f t="shared" si="73"/>
        <v>0</v>
      </c>
      <c r="AF52" s="766">
        <f t="shared" si="73"/>
        <v>0</v>
      </c>
      <c r="AG52" s="342">
        <f t="shared" si="73"/>
        <v>0</v>
      </c>
      <c r="AH52" s="342">
        <f t="shared" si="73"/>
        <v>0</v>
      </c>
      <c r="AI52" s="342">
        <f t="shared" si="73"/>
        <v>0</v>
      </c>
      <c r="AJ52" s="342">
        <f t="shared" si="73"/>
        <v>0</v>
      </c>
      <c r="AK52" s="342">
        <f t="shared" si="73"/>
        <v>0</v>
      </c>
      <c r="AL52" s="36">
        <f t="shared" si="73"/>
        <v>0</v>
      </c>
      <c r="AM52" s="345">
        <f t="shared" si="73"/>
        <v>5598887</v>
      </c>
      <c r="AN52" s="341">
        <f t="shared" si="73"/>
        <v>4153477</v>
      </c>
      <c r="AO52" s="341">
        <f t="shared" si="73"/>
        <v>0</v>
      </c>
      <c r="AP52" s="341">
        <f t="shared" si="73"/>
        <v>1403875</v>
      </c>
      <c r="AQ52" s="341">
        <f t="shared" si="73"/>
        <v>41535</v>
      </c>
      <c r="AR52" s="341">
        <f t="shared" si="73"/>
        <v>0</v>
      </c>
      <c r="AS52" s="342">
        <f t="shared" si="73"/>
        <v>6.8599999999999994</v>
      </c>
    </row>
    <row r="53" spans="1:45" x14ac:dyDescent="0.2">
      <c r="A53" s="136">
        <v>11</v>
      </c>
      <c r="B53" s="137">
        <v>3430</v>
      </c>
      <c r="C53" s="137">
        <v>600078183</v>
      </c>
      <c r="D53" s="137">
        <v>72744405</v>
      </c>
      <c r="E53" s="135" t="s">
        <v>100</v>
      </c>
      <c r="F53" s="137">
        <v>3111</v>
      </c>
      <c r="G53" s="138" t="s">
        <v>277</v>
      </c>
      <c r="H53" s="558" t="s">
        <v>262</v>
      </c>
      <c r="I53" s="610">
        <v>3512093</v>
      </c>
      <c r="J53" s="554">
        <v>2605410</v>
      </c>
      <c r="K53" s="554">
        <v>0</v>
      </c>
      <c r="L53" s="431">
        <v>880629</v>
      </c>
      <c r="M53" s="431">
        <v>26054</v>
      </c>
      <c r="N53" s="431">
        <v>0</v>
      </c>
      <c r="O53" s="611">
        <v>4</v>
      </c>
      <c r="P53" s="445">
        <f>W53*-1</f>
        <v>0</v>
      </c>
      <c r="Q53" s="325">
        <v>0</v>
      </c>
      <c r="R53" s="325">
        <v>0</v>
      </c>
      <c r="S53" s="325">
        <v>0</v>
      </c>
      <c r="T53" s="325">
        <v>0</v>
      </c>
      <c r="U53" s="325">
        <v>0</v>
      </c>
      <c r="V53" s="492">
        <f t="shared" ref="V53:V54" si="74">P53+Q53+R53+S53+T53+U53</f>
        <v>0</v>
      </c>
      <c r="W53" s="325">
        <v>0</v>
      </c>
      <c r="X53" s="325">
        <v>0</v>
      </c>
      <c r="Y53" s="325">
        <v>0</v>
      </c>
      <c r="Z53" s="492">
        <f t="shared" ref="Z53:Z54" si="75">W53+X53+Y53</f>
        <v>0</v>
      </c>
      <c r="AA53" s="492">
        <f t="shared" ref="AA53:AA54" si="76">V53+Z53</f>
        <v>0</v>
      </c>
      <c r="AB53" s="494">
        <f t="shared" ref="AB53:AB54" si="77">ROUND((V53+Z53)*33.8%,0)</f>
        <v>0</v>
      </c>
      <c r="AC53" s="55">
        <f>ROUND(V53*1%,0)</f>
        <v>0</v>
      </c>
      <c r="AD53" s="492">
        <v>0</v>
      </c>
      <c r="AE53" s="753">
        <f t="shared" ref="AE53:AE54" si="78">AA53+AB53+AC53+AD53</f>
        <v>0</v>
      </c>
      <c r="AF53" s="688">
        <v>0</v>
      </c>
      <c r="AG53" s="326">
        <v>0</v>
      </c>
      <c r="AH53" s="326">
        <v>0</v>
      </c>
      <c r="AI53" s="326">
        <v>0</v>
      </c>
      <c r="AJ53" s="326">
        <v>0</v>
      </c>
      <c r="AK53" s="326">
        <v>0</v>
      </c>
      <c r="AL53" s="609">
        <f t="shared" ref="AL53:AL54" si="79">SUM(AF53:AK53)</f>
        <v>0</v>
      </c>
      <c r="AM53" s="493">
        <f>I53+AE53</f>
        <v>3512093</v>
      </c>
      <c r="AN53" s="492">
        <f>J53+V53</f>
        <v>2605410</v>
      </c>
      <c r="AO53" s="573">
        <f t="shared" ref="AO53:AO54" si="80">K53+Z53</f>
        <v>0</v>
      </c>
      <c r="AP53" s="492">
        <f>L53+AB53</f>
        <v>880629</v>
      </c>
      <c r="AQ53" s="492">
        <f>M53+AC53</f>
        <v>26054</v>
      </c>
      <c r="AR53" s="492">
        <f t="shared" ref="AR53:AR54" si="81">N53+AD53</f>
        <v>0</v>
      </c>
      <c r="AS53" s="491">
        <f t="shared" ref="AS53:AS54" si="82">O53+AL53</f>
        <v>4</v>
      </c>
    </row>
    <row r="54" spans="1:45" x14ac:dyDescent="0.2">
      <c r="A54" s="136">
        <v>11</v>
      </c>
      <c r="B54" s="137">
        <v>3430</v>
      </c>
      <c r="C54" s="137">
        <v>600078183</v>
      </c>
      <c r="D54" s="137">
        <v>72744405</v>
      </c>
      <c r="E54" s="135" t="s">
        <v>100</v>
      </c>
      <c r="F54" s="137">
        <v>3111</v>
      </c>
      <c r="G54" s="138" t="s">
        <v>278</v>
      </c>
      <c r="H54" s="558" t="s">
        <v>263</v>
      </c>
      <c r="I54" s="580">
        <v>936163</v>
      </c>
      <c r="J54" s="490">
        <v>694483</v>
      </c>
      <c r="K54" s="554">
        <v>0</v>
      </c>
      <c r="L54" s="431">
        <v>234735</v>
      </c>
      <c r="M54" s="431">
        <v>6945</v>
      </c>
      <c r="N54" s="431">
        <v>0</v>
      </c>
      <c r="O54" s="614">
        <v>1.75</v>
      </c>
      <c r="P54" s="440">
        <f>W54*-1</f>
        <v>0</v>
      </c>
      <c r="Q54" s="325">
        <v>0</v>
      </c>
      <c r="R54" s="325">
        <v>0</v>
      </c>
      <c r="S54" s="325">
        <v>0</v>
      </c>
      <c r="T54" s="325">
        <v>0</v>
      </c>
      <c r="U54" s="325">
        <v>0</v>
      </c>
      <c r="V54" s="492">
        <f t="shared" si="74"/>
        <v>0</v>
      </c>
      <c r="W54" s="325">
        <v>0</v>
      </c>
      <c r="X54" s="325">
        <v>0</v>
      </c>
      <c r="Y54" s="325">
        <v>0</v>
      </c>
      <c r="Z54" s="492">
        <f t="shared" si="75"/>
        <v>0</v>
      </c>
      <c r="AA54" s="492">
        <f t="shared" si="76"/>
        <v>0</v>
      </c>
      <c r="AB54" s="494">
        <f t="shared" si="77"/>
        <v>0</v>
      </c>
      <c r="AC54" s="55">
        <f>ROUND(V54*1%,0)</f>
        <v>0</v>
      </c>
      <c r="AD54" s="492">
        <v>0</v>
      </c>
      <c r="AE54" s="753">
        <f t="shared" si="78"/>
        <v>0</v>
      </c>
      <c r="AF54" s="688">
        <v>0</v>
      </c>
      <c r="AG54" s="326">
        <v>0</v>
      </c>
      <c r="AH54" s="326">
        <v>0</v>
      </c>
      <c r="AI54" s="326">
        <v>0</v>
      </c>
      <c r="AJ54" s="326">
        <v>0</v>
      </c>
      <c r="AK54" s="326">
        <v>0</v>
      </c>
      <c r="AL54" s="609">
        <f t="shared" si="79"/>
        <v>0</v>
      </c>
      <c r="AM54" s="493">
        <f>I54+AE54</f>
        <v>936163</v>
      </c>
      <c r="AN54" s="492">
        <f>J54+V54</f>
        <v>694483</v>
      </c>
      <c r="AO54" s="573">
        <f t="shared" si="80"/>
        <v>0</v>
      </c>
      <c r="AP54" s="492">
        <f>L54+AB54</f>
        <v>234735</v>
      </c>
      <c r="AQ54" s="492">
        <f>M54+AC54</f>
        <v>6945</v>
      </c>
      <c r="AR54" s="492">
        <f t="shared" si="81"/>
        <v>0</v>
      </c>
      <c r="AS54" s="491">
        <f t="shared" si="82"/>
        <v>1.75</v>
      </c>
    </row>
    <row r="55" spans="1:45" x14ac:dyDescent="0.2">
      <c r="A55" s="107">
        <v>11</v>
      </c>
      <c r="B55" s="15">
        <v>3430</v>
      </c>
      <c r="C55" s="15">
        <v>600078183</v>
      </c>
      <c r="D55" s="15">
        <v>72744405</v>
      </c>
      <c r="E55" s="116" t="s">
        <v>101</v>
      </c>
      <c r="F55" s="15"/>
      <c r="G55" s="106"/>
      <c r="H55" s="555"/>
      <c r="I55" s="757">
        <v>4448256</v>
      </c>
      <c r="J55" s="341">
        <v>3299893</v>
      </c>
      <c r="K55" s="341">
        <v>0</v>
      </c>
      <c r="L55" s="341">
        <v>1115364</v>
      </c>
      <c r="M55" s="341">
        <v>32999</v>
      </c>
      <c r="N55" s="341">
        <v>0</v>
      </c>
      <c r="O55" s="36">
        <v>5.75</v>
      </c>
      <c r="P55" s="345">
        <f t="shared" ref="P55:AS55" si="83">SUM(P53:P54)</f>
        <v>0</v>
      </c>
      <c r="Q55" s="341">
        <f t="shared" si="83"/>
        <v>0</v>
      </c>
      <c r="R55" s="341">
        <f t="shared" si="83"/>
        <v>0</v>
      </c>
      <c r="S55" s="341">
        <f t="shared" si="83"/>
        <v>0</v>
      </c>
      <c r="T55" s="341">
        <f t="shared" si="83"/>
        <v>0</v>
      </c>
      <c r="U55" s="341">
        <f t="shared" si="83"/>
        <v>0</v>
      </c>
      <c r="V55" s="341">
        <f t="shared" si="83"/>
        <v>0</v>
      </c>
      <c r="W55" s="341">
        <f t="shared" si="83"/>
        <v>0</v>
      </c>
      <c r="X55" s="341">
        <f t="shared" si="83"/>
        <v>0</v>
      </c>
      <c r="Y55" s="341">
        <f t="shared" si="83"/>
        <v>0</v>
      </c>
      <c r="Z55" s="341">
        <f t="shared" si="83"/>
        <v>0</v>
      </c>
      <c r="AA55" s="341">
        <f t="shared" si="83"/>
        <v>0</v>
      </c>
      <c r="AB55" s="341">
        <f t="shared" si="83"/>
        <v>0</v>
      </c>
      <c r="AC55" s="341">
        <f t="shared" si="83"/>
        <v>0</v>
      </c>
      <c r="AD55" s="341">
        <f t="shared" si="83"/>
        <v>0</v>
      </c>
      <c r="AE55" s="762">
        <f t="shared" si="83"/>
        <v>0</v>
      </c>
      <c r="AF55" s="766">
        <f t="shared" si="83"/>
        <v>0</v>
      </c>
      <c r="AG55" s="342">
        <f t="shared" si="83"/>
        <v>0</v>
      </c>
      <c r="AH55" s="342">
        <f t="shared" si="83"/>
        <v>0</v>
      </c>
      <c r="AI55" s="342">
        <f t="shared" si="83"/>
        <v>0</v>
      </c>
      <c r="AJ55" s="342">
        <f t="shared" si="83"/>
        <v>0</v>
      </c>
      <c r="AK55" s="342">
        <f t="shared" si="83"/>
        <v>0</v>
      </c>
      <c r="AL55" s="36">
        <f t="shared" si="83"/>
        <v>0</v>
      </c>
      <c r="AM55" s="345">
        <f t="shared" si="83"/>
        <v>4448256</v>
      </c>
      <c r="AN55" s="341">
        <f t="shared" si="83"/>
        <v>3299893</v>
      </c>
      <c r="AO55" s="341">
        <f t="shared" si="83"/>
        <v>0</v>
      </c>
      <c r="AP55" s="341">
        <f t="shared" si="83"/>
        <v>1115364</v>
      </c>
      <c r="AQ55" s="341">
        <f t="shared" si="83"/>
        <v>32999</v>
      </c>
      <c r="AR55" s="341">
        <f t="shared" si="83"/>
        <v>0</v>
      </c>
      <c r="AS55" s="342">
        <f t="shared" si="83"/>
        <v>5.75</v>
      </c>
    </row>
    <row r="56" spans="1:45" x14ac:dyDescent="0.2">
      <c r="A56" s="136">
        <v>12</v>
      </c>
      <c r="B56" s="137">
        <v>3431</v>
      </c>
      <c r="C56" s="137">
        <v>600078370</v>
      </c>
      <c r="D56" s="137">
        <v>72744162</v>
      </c>
      <c r="E56" s="135" t="s">
        <v>102</v>
      </c>
      <c r="F56" s="137">
        <v>3117</v>
      </c>
      <c r="G56" s="138" t="s">
        <v>280</v>
      </c>
      <c r="H56" s="558" t="s">
        <v>262</v>
      </c>
      <c r="I56" s="610">
        <v>3957210</v>
      </c>
      <c r="J56" s="554">
        <v>2877769</v>
      </c>
      <c r="K56" s="554">
        <v>58279</v>
      </c>
      <c r="L56" s="431">
        <v>992384</v>
      </c>
      <c r="M56" s="431">
        <v>28778</v>
      </c>
      <c r="N56" s="431">
        <v>0</v>
      </c>
      <c r="O56" s="611">
        <v>4.07</v>
      </c>
      <c r="P56" s="445">
        <f>W56*-1</f>
        <v>-38852</v>
      </c>
      <c r="Q56" s="325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 t="shared" ref="V56:V58" si="84">P56+Q56+R56+S56+T56+U56</f>
        <v>-38852</v>
      </c>
      <c r="W56" s="325">
        <v>38852</v>
      </c>
      <c r="X56" s="325">
        <v>0</v>
      </c>
      <c r="Y56" s="325">
        <v>0</v>
      </c>
      <c r="Z56" s="492">
        <f t="shared" ref="Z56:Z58" si="85">W56+X56+Y56</f>
        <v>38852</v>
      </c>
      <c r="AA56" s="492">
        <f t="shared" ref="AA56:AA58" si="86">V56+Z56</f>
        <v>0</v>
      </c>
      <c r="AB56" s="494">
        <f t="shared" ref="AB56:AB58" si="87">ROUND((V56+Z56)*33.8%,0)</f>
        <v>0</v>
      </c>
      <c r="AC56" s="55">
        <f>ROUND(V56*1%,0)</f>
        <v>-389</v>
      </c>
      <c r="AD56" s="492">
        <v>0</v>
      </c>
      <c r="AE56" s="753">
        <f t="shared" ref="AE56:AE58" si="88">AA56+AB56+AC56+AD56</f>
        <v>-389</v>
      </c>
      <c r="AF56" s="688">
        <v>-7.0000000000000007E-2</v>
      </c>
      <c r="AG56" s="326">
        <v>0</v>
      </c>
      <c r="AH56" s="326">
        <v>0</v>
      </c>
      <c r="AI56" s="326">
        <v>0</v>
      </c>
      <c r="AJ56" s="326">
        <v>0</v>
      </c>
      <c r="AK56" s="326">
        <v>0</v>
      </c>
      <c r="AL56" s="609">
        <f t="shared" ref="AL56:AL58" si="89">SUM(AF56:AK56)</f>
        <v>-7.0000000000000007E-2</v>
      </c>
      <c r="AM56" s="493">
        <f>I56+AE56</f>
        <v>3956821</v>
      </c>
      <c r="AN56" s="492">
        <f>J56+V56</f>
        <v>2838917</v>
      </c>
      <c r="AO56" s="573">
        <f t="shared" ref="AO56:AO58" si="90">K56+Z56</f>
        <v>97131</v>
      </c>
      <c r="AP56" s="492">
        <f t="shared" ref="AP56:AR58" si="91">L56+AB56</f>
        <v>992384</v>
      </c>
      <c r="AQ56" s="492">
        <f t="shared" si="91"/>
        <v>28389</v>
      </c>
      <c r="AR56" s="492">
        <f t="shared" si="91"/>
        <v>0</v>
      </c>
      <c r="AS56" s="491">
        <f t="shared" ref="AS56:AS58" si="92">O56+AL56</f>
        <v>4</v>
      </c>
    </row>
    <row r="57" spans="1:45" x14ac:dyDescent="0.2">
      <c r="A57" s="136">
        <v>12</v>
      </c>
      <c r="B57" s="137">
        <v>3431</v>
      </c>
      <c r="C57" s="137">
        <v>600078370</v>
      </c>
      <c r="D57" s="137">
        <v>72744162</v>
      </c>
      <c r="E57" s="135" t="s">
        <v>102</v>
      </c>
      <c r="F57" s="137">
        <v>3117</v>
      </c>
      <c r="G57" s="138" t="s">
        <v>278</v>
      </c>
      <c r="H57" s="558" t="s">
        <v>263</v>
      </c>
      <c r="I57" s="580">
        <v>1602046</v>
      </c>
      <c r="J57" s="490">
        <v>1188461</v>
      </c>
      <c r="K57" s="554">
        <v>0</v>
      </c>
      <c r="L57" s="431">
        <v>401700</v>
      </c>
      <c r="M57" s="431">
        <v>11885</v>
      </c>
      <c r="N57" s="431">
        <v>0</v>
      </c>
      <c r="O57" s="614">
        <v>2.93</v>
      </c>
      <c r="P57" s="440">
        <f>W57*-1</f>
        <v>0</v>
      </c>
      <c r="Q57" s="325">
        <v>0</v>
      </c>
      <c r="R57" s="325">
        <v>0</v>
      </c>
      <c r="S57" s="325">
        <v>0</v>
      </c>
      <c r="T57" s="325">
        <v>0</v>
      </c>
      <c r="U57" s="325">
        <v>0</v>
      </c>
      <c r="V57" s="492">
        <f t="shared" si="84"/>
        <v>0</v>
      </c>
      <c r="W57" s="325">
        <v>0</v>
      </c>
      <c r="X57" s="325">
        <v>0</v>
      </c>
      <c r="Y57" s="325">
        <v>0</v>
      </c>
      <c r="Z57" s="492">
        <f t="shared" si="85"/>
        <v>0</v>
      </c>
      <c r="AA57" s="492">
        <f t="shared" si="86"/>
        <v>0</v>
      </c>
      <c r="AB57" s="494">
        <f t="shared" si="87"/>
        <v>0</v>
      </c>
      <c r="AC57" s="55">
        <f>ROUND(V57*1%,0)</f>
        <v>0</v>
      </c>
      <c r="AD57" s="492">
        <v>0</v>
      </c>
      <c r="AE57" s="753">
        <f t="shared" si="88"/>
        <v>0</v>
      </c>
      <c r="AF57" s="688">
        <v>0</v>
      </c>
      <c r="AG57" s="326">
        <v>0</v>
      </c>
      <c r="AH57" s="326">
        <v>0</v>
      </c>
      <c r="AI57" s="326">
        <v>0</v>
      </c>
      <c r="AJ57" s="326">
        <v>0</v>
      </c>
      <c r="AK57" s="326">
        <v>0</v>
      </c>
      <c r="AL57" s="609">
        <f t="shared" si="89"/>
        <v>0</v>
      </c>
      <c r="AM57" s="493">
        <f>I57+AE57</f>
        <v>1602046</v>
      </c>
      <c r="AN57" s="492">
        <f>J57+V57</f>
        <v>1188461</v>
      </c>
      <c r="AO57" s="573">
        <f t="shared" si="90"/>
        <v>0</v>
      </c>
      <c r="AP57" s="492">
        <f t="shared" si="91"/>
        <v>401700</v>
      </c>
      <c r="AQ57" s="492">
        <f t="shared" si="91"/>
        <v>11885</v>
      </c>
      <c r="AR57" s="492">
        <f t="shared" si="91"/>
        <v>0</v>
      </c>
      <c r="AS57" s="491">
        <f t="shared" si="92"/>
        <v>2.93</v>
      </c>
    </row>
    <row r="58" spans="1:45" x14ac:dyDescent="0.2">
      <c r="A58" s="136">
        <v>12</v>
      </c>
      <c r="B58" s="137">
        <v>3431</v>
      </c>
      <c r="C58" s="137">
        <v>600078370</v>
      </c>
      <c r="D58" s="137">
        <v>72744162</v>
      </c>
      <c r="E58" s="135" t="s">
        <v>102</v>
      </c>
      <c r="F58" s="137">
        <v>3143</v>
      </c>
      <c r="G58" s="138" t="s">
        <v>795</v>
      </c>
      <c r="H58" s="157" t="s">
        <v>262</v>
      </c>
      <c r="I58" s="580">
        <v>729016</v>
      </c>
      <c r="J58" s="490">
        <v>540813</v>
      </c>
      <c r="K58" s="554">
        <v>0</v>
      </c>
      <c r="L58" s="431">
        <v>182795</v>
      </c>
      <c r="M58" s="431">
        <v>5408</v>
      </c>
      <c r="N58" s="431">
        <v>0</v>
      </c>
      <c r="O58" s="614">
        <v>1</v>
      </c>
      <c r="P58" s="440">
        <f>W58*-1</f>
        <v>0</v>
      </c>
      <c r="Q58" s="325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 t="shared" si="84"/>
        <v>0</v>
      </c>
      <c r="W58" s="325">
        <v>0</v>
      </c>
      <c r="X58" s="325">
        <v>0</v>
      </c>
      <c r="Y58" s="325">
        <v>0</v>
      </c>
      <c r="Z58" s="492">
        <f t="shared" si="85"/>
        <v>0</v>
      </c>
      <c r="AA58" s="492">
        <f t="shared" si="86"/>
        <v>0</v>
      </c>
      <c r="AB58" s="494">
        <f t="shared" si="87"/>
        <v>0</v>
      </c>
      <c r="AC58" s="55">
        <f>ROUND(V58*1%,0)</f>
        <v>0</v>
      </c>
      <c r="AD58" s="492">
        <v>0</v>
      </c>
      <c r="AE58" s="753">
        <f t="shared" si="88"/>
        <v>0</v>
      </c>
      <c r="AF58" s="688">
        <v>0</v>
      </c>
      <c r="AG58" s="326">
        <v>0</v>
      </c>
      <c r="AH58" s="326">
        <v>0</v>
      </c>
      <c r="AI58" s="326">
        <v>0</v>
      </c>
      <c r="AJ58" s="326">
        <v>0</v>
      </c>
      <c r="AK58" s="326">
        <v>0</v>
      </c>
      <c r="AL58" s="609">
        <f t="shared" si="89"/>
        <v>0</v>
      </c>
      <c r="AM58" s="493">
        <f>I58+AE58</f>
        <v>729016</v>
      </c>
      <c r="AN58" s="492">
        <f>J58+V58</f>
        <v>540813</v>
      </c>
      <c r="AO58" s="573">
        <f t="shared" si="90"/>
        <v>0</v>
      </c>
      <c r="AP58" s="492">
        <f t="shared" si="91"/>
        <v>182795</v>
      </c>
      <c r="AQ58" s="492">
        <f t="shared" si="91"/>
        <v>5408</v>
      </c>
      <c r="AR58" s="492">
        <f t="shared" si="91"/>
        <v>0</v>
      </c>
      <c r="AS58" s="491">
        <f t="shared" si="92"/>
        <v>1</v>
      </c>
    </row>
    <row r="59" spans="1:45" x14ac:dyDescent="0.2">
      <c r="A59" s="107">
        <v>12</v>
      </c>
      <c r="B59" s="15">
        <v>3431</v>
      </c>
      <c r="C59" s="15">
        <v>600078370</v>
      </c>
      <c r="D59" s="15">
        <v>72744162</v>
      </c>
      <c r="E59" s="116" t="s">
        <v>103</v>
      </c>
      <c r="F59" s="15"/>
      <c r="G59" s="106"/>
      <c r="H59" s="555"/>
      <c r="I59" s="757">
        <v>6288272</v>
      </c>
      <c r="J59" s="341">
        <v>4607043</v>
      </c>
      <c r="K59" s="341">
        <v>58279</v>
      </c>
      <c r="L59" s="341">
        <v>1576879</v>
      </c>
      <c r="M59" s="341">
        <v>46071</v>
      </c>
      <c r="N59" s="341">
        <v>0</v>
      </c>
      <c r="O59" s="36">
        <v>8</v>
      </c>
      <c r="P59" s="345">
        <f t="shared" ref="P59:AS59" si="93">SUM(P56:P58)</f>
        <v>-38852</v>
      </c>
      <c r="Q59" s="341">
        <f t="shared" si="93"/>
        <v>0</v>
      </c>
      <c r="R59" s="341">
        <f t="shared" si="93"/>
        <v>0</v>
      </c>
      <c r="S59" s="341">
        <f t="shared" si="93"/>
        <v>0</v>
      </c>
      <c r="T59" s="341">
        <f t="shared" si="93"/>
        <v>0</v>
      </c>
      <c r="U59" s="341">
        <f t="shared" si="93"/>
        <v>0</v>
      </c>
      <c r="V59" s="341">
        <f t="shared" si="93"/>
        <v>-38852</v>
      </c>
      <c r="W59" s="341">
        <f t="shared" si="93"/>
        <v>38852</v>
      </c>
      <c r="X59" s="341">
        <f t="shared" si="93"/>
        <v>0</v>
      </c>
      <c r="Y59" s="341">
        <f t="shared" si="93"/>
        <v>0</v>
      </c>
      <c r="Z59" s="341">
        <f t="shared" si="93"/>
        <v>38852</v>
      </c>
      <c r="AA59" s="341">
        <f t="shared" si="93"/>
        <v>0</v>
      </c>
      <c r="AB59" s="341">
        <f t="shared" si="93"/>
        <v>0</v>
      </c>
      <c r="AC59" s="341">
        <f t="shared" si="93"/>
        <v>-389</v>
      </c>
      <c r="AD59" s="341">
        <f t="shared" si="93"/>
        <v>0</v>
      </c>
      <c r="AE59" s="762">
        <f t="shared" si="93"/>
        <v>-389</v>
      </c>
      <c r="AF59" s="766">
        <f t="shared" si="93"/>
        <v>-7.0000000000000007E-2</v>
      </c>
      <c r="AG59" s="342">
        <f t="shared" si="93"/>
        <v>0</v>
      </c>
      <c r="AH59" s="342">
        <f t="shared" si="93"/>
        <v>0</v>
      </c>
      <c r="AI59" s="342">
        <f t="shared" si="93"/>
        <v>0</v>
      </c>
      <c r="AJ59" s="342">
        <f t="shared" si="93"/>
        <v>0</v>
      </c>
      <c r="AK59" s="342">
        <f t="shared" si="93"/>
        <v>0</v>
      </c>
      <c r="AL59" s="36">
        <f t="shared" si="93"/>
        <v>-7.0000000000000007E-2</v>
      </c>
      <c r="AM59" s="345">
        <f t="shared" si="93"/>
        <v>6287883</v>
      </c>
      <c r="AN59" s="341">
        <f t="shared" si="93"/>
        <v>4568191</v>
      </c>
      <c r="AO59" s="341">
        <f t="shared" si="93"/>
        <v>97131</v>
      </c>
      <c r="AP59" s="341">
        <f t="shared" si="93"/>
        <v>1576879</v>
      </c>
      <c r="AQ59" s="341">
        <f t="shared" si="93"/>
        <v>45682</v>
      </c>
      <c r="AR59" s="341">
        <f t="shared" si="93"/>
        <v>0</v>
      </c>
      <c r="AS59" s="342">
        <f t="shared" si="93"/>
        <v>7.93</v>
      </c>
    </row>
    <row r="60" spans="1:45" x14ac:dyDescent="0.2">
      <c r="A60" s="136">
        <v>13</v>
      </c>
      <c r="B60" s="137">
        <v>3437</v>
      </c>
      <c r="C60" s="137">
        <v>600078051</v>
      </c>
      <c r="D60" s="137">
        <v>70695377</v>
      </c>
      <c r="E60" s="135" t="s">
        <v>104</v>
      </c>
      <c r="F60" s="137">
        <v>3111</v>
      </c>
      <c r="G60" s="138" t="s">
        <v>277</v>
      </c>
      <c r="H60" s="558" t="s">
        <v>262</v>
      </c>
      <c r="I60" s="610">
        <v>9723117</v>
      </c>
      <c r="J60" s="554">
        <v>7212995</v>
      </c>
      <c r="K60" s="554">
        <v>0</v>
      </c>
      <c r="L60" s="431">
        <v>2437992</v>
      </c>
      <c r="M60" s="431">
        <v>72130</v>
      </c>
      <c r="N60" s="431">
        <v>0</v>
      </c>
      <c r="O60" s="611">
        <v>12</v>
      </c>
      <c r="P60" s="445">
        <f>W60*-1</f>
        <v>0</v>
      </c>
      <c r="Q60" s="325">
        <v>0</v>
      </c>
      <c r="R60" s="325">
        <v>0</v>
      </c>
      <c r="S60" s="325">
        <v>0</v>
      </c>
      <c r="T60" s="325">
        <v>0</v>
      </c>
      <c r="U60" s="325">
        <v>0</v>
      </c>
      <c r="V60" s="492">
        <f t="shared" ref="V60:V61" si="94">P60+Q60+R60+S60+T60+U60</f>
        <v>0</v>
      </c>
      <c r="W60" s="325">
        <v>0</v>
      </c>
      <c r="X60" s="325">
        <v>0</v>
      </c>
      <c r="Y60" s="325">
        <v>0</v>
      </c>
      <c r="Z60" s="492">
        <f t="shared" ref="Z60:Z61" si="95">W60+X60+Y60</f>
        <v>0</v>
      </c>
      <c r="AA60" s="492">
        <f t="shared" ref="AA60:AA61" si="96">V60+Z60</f>
        <v>0</v>
      </c>
      <c r="AB60" s="494">
        <f t="shared" ref="AB60:AB61" si="97">ROUND((V60+Z60)*33.8%,0)</f>
        <v>0</v>
      </c>
      <c r="AC60" s="55">
        <f>ROUND(V60*1%,0)</f>
        <v>0</v>
      </c>
      <c r="AD60" s="492">
        <v>0</v>
      </c>
      <c r="AE60" s="753">
        <f t="shared" ref="AE60:AE61" si="98">AA60+AB60+AC60+AD60</f>
        <v>0</v>
      </c>
      <c r="AF60" s="688">
        <v>0</v>
      </c>
      <c r="AG60" s="326">
        <v>0</v>
      </c>
      <c r="AH60" s="326">
        <v>0</v>
      </c>
      <c r="AI60" s="326">
        <v>0</v>
      </c>
      <c r="AJ60" s="326">
        <v>0</v>
      </c>
      <c r="AK60" s="326">
        <v>0</v>
      </c>
      <c r="AL60" s="609">
        <f t="shared" ref="AL60:AL61" si="99">SUM(AF60:AK60)</f>
        <v>0</v>
      </c>
      <c r="AM60" s="493">
        <f>I60+AE60</f>
        <v>9723117</v>
      </c>
      <c r="AN60" s="492">
        <f>J60+V60</f>
        <v>7212995</v>
      </c>
      <c r="AO60" s="573">
        <f t="shared" ref="AO60:AO61" si="100">K60+Z60</f>
        <v>0</v>
      </c>
      <c r="AP60" s="492">
        <f>L60+AB60</f>
        <v>2437992</v>
      </c>
      <c r="AQ60" s="492">
        <f>M60+AC60</f>
        <v>72130</v>
      </c>
      <c r="AR60" s="492">
        <f t="shared" ref="AR60:AR61" si="101">N60+AD60</f>
        <v>0</v>
      </c>
      <c r="AS60" s="491">
        <f t="shared" ref="AS60:AS61" si="102">O60+AL60</f>
        <v>12</v>
      </c>
    </row>
    <row r="61" spans="1:45" x14ac:dyDescent="0.2">
      <c r="A61" s="136">
        <v>13</v>
      </c>
      <c r="B61" s="137">
        <v>3437</v>
      </c>
      <c r="C61" s="137">
        <v>600078051</v>
      </c>
      <c r="D61" s="137">
        <v>70695377</v>
      </c>
      <c r="E61" s="135" t="s">
        <v>104</v>
      </c>
      <c r="F61" s="137">
        <v>3111</v>
      </c>
      <c r="G61" s="138" t="s">
        <v>278</v>
      </c>
      <c r="H61" s="558" t="s">
        <v>263</v>
      </c>
      <c r="I61" s="580">
        <v>1558232</v>
      </c>
      <c r="J61" s="490">
        <v>1155958</v>
      </c>
      <c r="K61" s="554">
        <v>0</v>
      </c>
      <c r="L61" s="431">
        <v>390714</v>
      </c>
      <c r="M61" s="431">
        <v>11560</v>
      </c>
      <c r="N61" s="431">
        <v>0</v>
      </c>
      <c r="O61" s="614">
        <v>3.14</v>
      </c>
      <c r="P61" s="440">
        <f>W61*-1</f>
        <v>0</v>
      </c>
      <c r="Q61" s="325">
        <v>0</v>
      </c>
      <c r="R61" s="325">
        <v>0</v>
      </c>
      <c r="S61" s="325">
        <v>0</v>
      </c>
      <c r="T61" s="325">
        <v>0</v>
      </c>
      <c r="U61" s="325">
        <v>0</v>
      </c>
      <c r="V61" s="492">
        <f t="shared" si="94"/>
        <v>0</v>
      </c>
      <c r="W61" s="325">
        <v>0</v>
      </c>
      <c r="X61" s="325">
        <v>0</v>
      </c>
      <c r="Y61" s="325">
        <v>0</v>
      </c>
      <c r="Z61" s="492">
        <f t="shared" si="95"/>
        <v>0</v>
      </c>
      <c r="AA61" s="492">
        <f t="shared" si="96"/>
        <v>0</v>
      </c>
      <c r="AB61" s="494">
        <f t="shared" si="97"/>
        <v>0</v>
      </c>
      <c r="AC61" s="55">
        <f>ROUND(V61*1%,0)</f>
        <v>0</v>
      </c>
      <c r="AD61" s="492">
        <v>0</v>
      </c>
      <c r="AE61" s="753">
        <f t="shared" si="98"/>
        <v>0</v>
      </c>
      <c r="AF61" s="688">
        <v>0</v>
      </c>
      <c r="AG61" s="326">
        <v>0</v>
      </c>
      <c r="AH61" s="326">
        <v>0</v>
      </c>
      <c r="AI61" s="326">
        <v>0</v>
      </c>
      <c r="AJ61" s="326">
        <v>0</v>
      </c>
      <c r="AK61" s="326">
        <v>0</v>
      </c>
      <c r="AL61" s="609">
        <f t="shared" si="99"/>
        <v>0</v>
      </c>
      <c r="AM61" s="493">
        <f>I61+AE61</f>
        <v>1558232</v>
      </c>
      <c r="AN61" s="492">
        <f>J61+V61</f>
        <v>1155958</v>
      </c>
      <c r="AO61" s="573">
        <f t="shared" si="100"/>
        <v>0</v>
      </c>
      <c r="AP61" s="492">
        <f>L61+AB61</f>
        <v>390714</v>
      </c>
      <c r="AQ61" s="492">
        <f>M61+AC61</f>
        <v>11560</v>
      </c>
      <c r="AR61" s="492">
        <f t="shared" si="101"/>
        <v>0</v>
      </c>
      <c r="AS61" s="491">
        <f t="shared" si="102"/>
        <v>3.14</v>
      </c>
    </row>
    <row r="62" spans="1:45" x14ac:dyDescent="0.2">
      <c r="A62" s="107">
        <v>13</v>
      </c>
      <c r="B62" s="15">
        <v>3437</v>
      </c>
      <c r="C62" s="15">
        <v>600078051</v>
      </c>
      <c r="D62" s="15">
        <v>70695377</v>
      </c>
      <c r="E62" s="116" t="s">
        <v>105</v>
      </c>
      <c r="F62" s="15"/>
      <c r="G62" s="106"/>
      <c r="H62" s="555"/>
      <c r="I62" s="758">
        <v>11281349</v>
      </c>
      <c r="J62" s="343">
        <v>8368953</v>
      </c>
      <c r="K62" s="343">
        <v>0</v>
      </c>
      <c r="L62" s="343">
        <v>2828706</v>
      </c>
      <c r="M62" s="343">
        <v>83690</v>
      </c>
      <c r="N62" s="343">
        <v>0</v>
      </c>
      <c r="O62" s="35">
        <v>15.14</v>
      </c>
      <c r="P62" s="346">
        <f t="shared" ref="P62:AS62" si="103">SUM(P60:P61)</f>
        <v>0</v>
      </c>
      <c r="Q62" s="343">
        <f t="shared" si="103"/>
        <v>0</v>
      </c>
      <c r="R62" s="343">
        <f t="shared" si="103"/>
        <v>0</v>
      </c>
      <c r="S62" s="343">
        <f t="shared" si="103"/>
        <v>0</v>
      </c>
      <c r="T62" s="343">
        <f t="shared" si="103"/>
        <v>0</v>
      </c>
      <c r="U62" s="343">
        <f t="shared" si="103"/>
        <v>0</v>
      </c>
      <c r="V62" s="343">
        <f t="shared" si="103"/>
        <v>0</v>
      </c>
      <c r="W62" s="343">
        <f t="shared" si="103"/>
        <v>0</v>
      </c>
      <c r="X62" s="343">
        <f t="shared" si="103"/>
        <v>0</v>
      </c>
      <c r="Y62" s="343">
        <f t="shared" si="103"/>
        <v>0</v>
      </c>
      <c r="Z62" s="343">
        <f t="shared" si="103"/>
        <v>0</v>
      </c>
      <c r="AA62" s="343">
        <f t="shared" si="103"/>
        <v>0</v>
      </c>
      <c r="AB62" s="343">
        <f t="shared" si="103"/>
        <v>0</v>
      </c>
      <c r="AC62" s="343">
        <f t="shared" si="103"/>
        <v>0</v>
      </c>
      <c r="AD62" s="343">
        <f t="shared" si="103"/>
        <v>0</v>
      </c>
      <c r="AE62" s="763">
        <f t="shared" si="103"/>
        <v>0</v>
      </c>
      <c r="AF62" s="767">
        <f t="shared" si="103"/>
        <v>0</v>
      </c>
      <c r="AG62" s="344">
        <f t="shared" si="103"/>
        <v>0</v>
      </c>
      <c r="AH62" s="344">
        <f t="shared" si="103"/>
        <v>0</v>
      </c>
      <c r="AI62" s="344">
        <f t="shared" si="103"/>
        <v>0</v>
      </c>
      <c r="AJ62" s="344">
        <f t="shared" si="103"/>
        <v>0</v>
      </c>
      <c r="AK62" s="344">
        <f t="shared" si="103"/>
        <v>0</v>
      </c>
      <c r="AL62" s="35">
        <f t="shared" si="103"/>
        <v>0</v>
      </c>
      <c r="AM62" s="346">
        <f t="shared" si="103"/>
        <v>11281349</v>
      </c>
      <c r="AN62" s="343">
        <f t="shared" si="103"/>
        <v>8368953</v>
      </c>
      <c r="AO62" s="343">
        <f t="shared" si="103"/>
        <v>0</v>
      </c>
      <c r="AP62" s="343">
        <f t="shared" si="103"/>
        <v>2828706</v>
      </c>
      <c r="AQ62" s="343">
        <f t="shared" si="103"/>
        <v>83690</v>
      </c>
      <c r="AR62" s="343">
        <f t="shared" si="103"/>
        <v>0</v>
      </c>
      <c r="AS62" s="344">
        <f t="shared" si="103"/>
        <v>15.14</v>
      </c>
    </row>
    <row r="63" spans="1:45" x14ac:dyDescent="0.2">
      <c r="A63" s="136">
        <v>14</v>
      </c>
      <c r="B63" s="137">
        <v>3436</v>
      </c>
      <c r="C63" s="137">
        <v>600078485</v>
      </c>
      <c r="D63" s="137">
        <v>70695385</v>
      </c>
      <c r="E63" s="135" t="s">
        <v>106</v>
      </c>
      <c r="F63" s="137">
        <v>3113</v>
      </c>
      <c r="G63" s="138" t="s">
        <v>280</v>
      </c>
      <c r="H63" s="558" t="s">
        <v>262</v>
      </c>
      <c r="I63" s="610">
        <v>23745358</v>
      </c>
      <c r="J63" s="554">
        <v>17615251</v>
      </c>
      <c r="K63" s="554">
        <v>0</v>
      </c>
      <c r="L63" s="431">
        <v>5953955</v>
      </c>
      <c r="M63" s="431">
        <v>176152</v>
      </c>
      <c r="N63" s="431">
        <v>0</v>
      </c>
      <c r="O63" s="611">
        <v>24.91</v>
      </c>
      <c r="P63" s="445">
        <f>W63*-1</f>
        <v>0</v>
      </c>
      <c r="Q63" s="325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 t="shared" ref="V63:V65" si="104">P63+Q63+R63+S63+T63+U63</f>
        <v>0</v>
      </c>
      <c r="W63" s="325">
        <v>0</v>
      </c>
      <c r="X63" s="325">
        <v>0</v>
      </c>
      <c r="Y63" s="325">
        <v>0</v>
      </c>
      <c r="Z63" s="492">
        <f t="shared" ref="Z63:Z65" si="105">W63+X63+Y63</f>
        <v>0</v>
      </c>
      <c r="AA63" s="492">
        <f t="shared" ref="AA63:AA65" si="106">V63+Z63</f>
        <v>0</v>
      </c>
      <c r="AB63" s="494">
        <f t="shared" ref="AB63:AB65" si="107">ROUND((V63+Z63)*33.8%,0)</f>
        <v>0</v>
      </c>
      <c r="AC63" s="55">
        <f>ROUND(V63*1%,0)</f>
        <v>0</v>
      </c>
      <c r="AD63" s="492">
        <v>0</v>
      </c>
      <c r="AE63" s="753">
        <f t="shared" ref="AE63:AE65" si="108">AA63+AB63+AC63+AD63</f>
        <v>0</v>
      </c>
      <c r="AF63" s="688">
        <v>0</v>
      </c>
      <c r="AG63" s="326">
        <v>0</v>
      </c>
      <c r="AH63" s="326">
        <v>0</v>
      </c>
      <c r="AI63" s="326">
        <v>0</v>
      </c>
      <c r="AJ63" s="326">
        <v>0</v>
      </c>
      <c r="AK63" s="326">
        <v>0</v>
      </c>
      <c r="AL63" s="609">
        <f t="shared" ref="AL63:AL65" si="109">SUM(AF63:AK63)</f>
        <v>0</v>
      </c>
      <c r="AM63" s="493">
        <f>I63+AE63</f>
        <v>23745358</v>
      </c>
      <c r="AN63" s="492">
        <f>J63+V63</f>
        <v>17615251</v>
      </c>
      <c r="AO63" s="573">
        <f t="shared" ref="AO63:AO65" si="110">K63+Z63</f>
        <v>0</v>
      </c>
      <c r="AP63" s="492">
        <f t="shared" ref="AP63:AR65" si="111">L63+AB63</f>
        <v>5953955</v>
      </c>
      <c r="AQ63" s="492">
        <f t="shared" si="111"/>
        <v>176152</v>
      </c>
      <c r="AR63" s="492">
        <f t="shared" si="111"/>
        <v>0</v>
      </c>
      <c r="AS63" s="491">
        <f t="shared" ref="AS63:AS65" si="112">O63+AL63</f>
        <v>24.91</v>
      </c>
    </row>
    <row r="64" spans="1:45" x14ac:dyDescent="0.2">
      <c r="A64" s="136">
        <v>14</v>
      </c>
      <c r="B64" s="137">
        <v>3436</v>
      </c>
      <c r="C64" s="137">
        <v>600078485</v>
      </c>
      <c r="D64" s="137">
        <v>70695385</v>
      </c>
      <c r="E64" s="135" t="s">
        <v>106</v>
      </c>
      <c r="F64" s="137">
        <v>3113</v>
      </c>
      <c r="G64" s="138" t="s">
        <v>278</v>
      </c>
      <c r="H64" s="558" t="s">
        <v>263</v>
      </c>
      <c r="I64" s="580">
        <v>3224578</v>
      </c>
      <c r="J64" s="490">
        <v>2392120</v>
      </c>
      <c r="K64" s="554">
        <v>0</v>
      </c>
      <c r="L64" s="431">
        <v>808537</v>
      </c>
      <c r="M64" s="431">
        <v>23921</v>
      </c>
      <c r="N64" s="431">
        <v>0</v>
      </c>
      <c r="O64" s="614">
        <v>6.03</v>
      </c>
      <c r="P64" s="440">
        <f>W64*-1</f>
        <v>0</v>
      </c>
      <c r="Q64" s="325">
        <v>0</v>
      </c>
      <c r="R64" s="325">
        <v>0</v>
      </c>
      <c r="S64" s="325">
        <v>0</v>
      </c>
      <c r="T64" s="325">
        <v>0</v>
      </c>
      <c r="U64" s="325">
        <v>0</v>
      </c>
      <c r="V64" s="492">
        <f t="shared" si="104"/>
        <v>0</v>
      </c>
      <c r="W64" s="325">
        <v>0</v>
      </c>
      <c r="X64" s="325">
        <v>0</v>
      </c>
      <c r="Y64" s="325">
        <v>0</v>
      </c>
      <c r="Z64" s="492">
        <f t="shared" si="105"/>
        <v>0</v>
      </c>
      <c r="AA64" s="492">
        <f t="shared" si="106"/>
        <v>0</v>
      </c>
      <c r="AB64" s="494">
        <f t="shared" si="107"/>
        <v>0</v>
      </c>
      <c r="AC64" s="55">
        <f>ROUND(V64*1%,0)</f>
        <v>0</v>
      </c>
      <c r="AD64" s="492">
        <v>0</v>
      </c>
      <c r="AE64" s="753">
        <f t="shared" si="108"/>
        <v>0</v>
      </c>
      <c r="AF64" s="688">
        <v>0</v>
      </c>
      <c r="AG64" s="326">
        <v>0</v>
      </c>
      <c r="AH64" s="326">
        <v>0</v>
      </c>
      <c r="AI64" s="326">
        <v>0</v>
      </c>
      <c r="AJ64" s="326">
        <v>0</v>
      </c>
      <c r="AK64" s="326">
        <v>0</v>
      </c>
      <c r="AL64" s="609">
        <f t="shared" si="109"/>
        <v>0</v>
      </c>
      <c r="AM64" s="493">
        <f>I64+AE64</f>
        <v>3224578</v>
      </c>
      <c r="AN64" s="492">
        <f>J64+V64</f>
        <v>2392120</v>
      </c>
      <c r="AO64" s="573">
        <f t="shared" si="110"/>
        <v>0</v>
      </c>
      <c r="AP64" s="492">
        <f t="shared" si="111"/>
        <v>808537</v>
      </c>
      <c r="AQ64" s="492">
        <f t="shared" si="111"/>
        <v>23921</v>
      </c>
      <c r="AR64" s="492">
        <f t="shared" si="111"/>
        <v>0</v>
      </c>
      <c r="AS64" s="491">
        <f t="shared" si="112"/>
        <v>6.03</v>
      </c>
    </row>
    <row r="65" spans="1:45" x14ac:dyDescent="0.2">
      <c r="A65" s="136">
        <v>14</v>
      </c>
      <c r="B65" s="137">
        <v>3436</v>
      </c>
      <c r="C65" s="137">
        <v>600078485</v>
      </c>
      <c r="D65" s="137">
        <v>70695385</v>
      </c>
      <c r="E65" s="135" t="s">
        <v>106</v>
      </c>
      <c r="F65" s="137">
        <v>3143</v>
      </c>
      <c r="G65" s="138" t="s">
        <v>795</v>
      </c>
      <c r="H65" s="157" t="s">
        <v>262</v>
      </c>
      <c r="I65" s="580">
        <v>2171612</v>
      </c>
      <c r="J65" s="490">
        <v>1610988</v>
      </c>
      <c r="K65" s="554">
        <v>0</v>
      </c>
      <c r="L65" s="431">
        <v>544514</v>
      </c>
      <c r="M65" s="431">
        <v>16110</v>
      </c>
      <c r="N65" s="431">
        <v>0</v>
      </c>
      <c r="O65" s="614">
        <v>2.99</v>
      </c>
      <c r="P65" s="440">
        <f>W65*-1</f>
        <v>0</v>
      </c>
      <c r="Q65" s="325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 t="shared" si="104"/>
        <v>0</v>
      </c>
      <c r="W65" s="325">
        <v>0</v>
      </c>
      <c r="X65" s="325">
        <v>0</v>
      </c>
      <c r="Y65" s="325">
        <v>0</v>
      </c>
      <c r="Z65" s="492">
        <f t="shared" si="105"/>
        <v>0</v>
      </c>
      <c r="AA65" s="492">
        <f t="shared" si="106"/>
        <v>0</v>
      </c>
      <c r="AB65" s="494">
        <f t="shared" si="107"/>
        <v>0</v>
      </c>
      <c r="AC65" s="55">
        <f>ROUND(V65*1%,0)</f>
        <v>0</v>
      </c>
      <c r="AD65" s="492">
        <v>0</v>
      </c>
      <c r="AE65" s="753">
        <f t="shared" si="108"/>
        <v>0</v>
      </c>
      <c r="AF65" s="688">
        <v>0</v>
      </c>
      <c r="AG65" s="326">
        <v>0</v>
      </c>
      <c r="AH65" s="326">
        <v>0</v>
      </c>
      <c r="AI65" s="326">
        <v>0</v>
      </c>
      <c r="AJ65" s="326">
        <v>0</v>
      </c>
      <c r="AK65" s="326">
        <v>0</v>
      </c>
      <c r="AL65" s="609">
        <f t="shared" si="109"/>
        <v>0</v>
      </c>
      <c r="AM65" s="493">
        <f>I65+AE65</f>
        <v>2171612</v>
      </c>
      <c r="AN65" s="492">
        <f>J65+V65</f>
        <v>1610988</v>
      </c>
      <c r="AO65" s="573">
        <f t="shared" si="110"/>
        <v>0</v>
      </c>
      <c r="AP65" s="492">
        <f t="shared" si="111"/>
        <v>544514</v>
      </c>
      <c r="AQ65" s="492">
        <f t="shared" si="111"/>
        <v>16110</v>
      </c>
      <c r="AR65" s="492">
        <f t="shared" si="111"/>
        <v>0</v>
      </c>
      <c r="AS65" s="491">
        <f t="shared" si="112"/>
        <v>2.99</v>
      </c>
    </row>
    <row r="66" spans="1:45" x14ac:dyDescent="0.2">
      <c r="A66" s="107">
        <v>14</v>
      </c>
      <c r="B66" s="15">
        <v>3436</v>
      </c>
      <c r="C66" s="15">
        <v>600078485</v>
      </c>
      <c r="D66" s="15">
        <v>70695385</v>
      </c>
      <c r="E66" s="116" t="s">
        <v>107</v>
      </c>
      <c r="F66" s="15"/>
      <c r="G66" s="106"/>
      <c r="H66" s="555"/>
      <c r="I66" s="757">
        <v>29141548</v>
      </c>
      <c r="J66" s="341">
        <v>21618359</v>
      </c>
      <c r="K66" s="341">
        <v>0</v>
      </c>
      <c r="L66" s="341">
        <v>7307006</v>
      </c>
      <c r="M66" s="341">
        <v>216183</v>
      </c>
      <c r="N66" s="341">
        <v>0</v>
      </c>
      <c r="O66" s="36">
        <v>33.93</v>
      </c>
      <c r="P66" s="345">
        <f t="shared" ref="P66:AS66" si="113">SUM(P63:P65)</f>
        <v>0</v>
      </c>
      <c r="Q66" s="341">
        <f t="shared" si="113"/>
        <v>0</v>
      </c>
      <c r="R66" s="341">
        <f t="shared" si="113"/>
        <v>0</v>
      </c>
      <c r="S66" s="341">
        <f t="shared" si="113"/>
        <v>0</v>
      </c>
      <c r="T66" s="341">
        <f t="shared" si="113"/>
        <v>0</v>
      </c>
      <c r="U66" s="341">
        <f t="shared" si="113"/>
        <v>0</v>
      </c>
      <c r="V66" s="341">
        <f t="shared" si="113"/>
        <v>0</v>
      </c>
      <c r="W66" s="341">
        <f t="shared" si="113"/>
        <v>0</v>
      </c>
      <c r="X66" s="341">
        <f t="shared" si="113"/>
        <v>0</v>
      </c>
      <c r="Y66" s="341">
        <f t="shared" si="113"/>
        <v>0</v>
      </c>
      <c r="Z66" s="341">
        <f t="shared" si="113"/>
        <v>0</v>
      </c>
      <c r="AA66" s="341">
        <f t="shared" si="113"/>
        <v>0</v>
      </c>
      <c r="AB66" s="341">
        <f t="shared" si="113"/>
        <v>0</v>
      </c>
      <c r="AC66" s="341">
        <f t="shared" si="113"/>
        <v>0</v>
      </c>
      <c r="AD66" s="341">
        <f t="shared" si="113"/>
        <v>0</v>
      </c>
      <c r="AE66" s="762">
        <f t="shared" si="113"/>
        <v>0</v>
      </c>
      <c r="AF66" s="766">
        <f t="shared" si="113"/>
        <v>0</v>
      </c>
      <c r="AG66" s="342">
        <f t="shared" si="113"/>
        <v>0</v>
      </c>
      <c r="AH66" s="342">
        <f t="shared" si="113"/>
        <v>0</v>
      </c>
      <c r="AI66" s="342">
        <f t="shared" si="113"/>
        <v>0</v>
      </c>
      <c r="AJ66" s="342">
        <f t="shared" si="113"/>
        <v>0</v>
      </c>
      <c r="AK66" s="342">
        <f t="shared" si="113"/>
        <v>0</v>
      </c>
      <c r="AL66" s="36">
        <f t="shared" si="113"/>
        <v>0</v>
      </c>
      <c r="AM66" s="345">
        <f t="shared" si="113"/>
        <v>29141548</v>
      </c>
      <c r="AN66" s="341">
        <f t="shared" si="113"/>
        <v>21618359</v>
      </c>
      <c r="AO66" s="341">
        <f t="shared" si="113"/>
        <v>0</v>
      </c>
      <c r="AP66" s="341">
        <f t="shared" si="113"/>
        <v>7307006</v>
      </c>
      <c r="AQ66" s="341">
        <f t="shared" si="113"/>
        <v>216183</v>
      </c>
      <c r="AR66" s="341">
        <f t="shared" si="113"/>
        <v>0</v>
      </c>
      <c r="AS66" s="342">
        <f t="shared" si="113"/>
        <v>33.93</v>
      </c>
    </row>
    <row r="67" spans="1:45" x14ac:dyDescent="0.2">
      <c r="A67" s="136">
        <v>15</v>
      </c>
      <c r="B67" s="137">
        <v>3442</v>
      </c>
      <c r="C67" s="137">
        <v>600078205</v>
      </c>
      <c r="D67" s="137">
        <v>72743638</v>
      </c>
      <c r="E67" s="135" t="s">
        <v>796</v>
      </c>
      <c r="F67" s="137">
        <v>3111</v>
      </c>
      <c r="G67" s="138" t="s">
        <v>277</v>
      </c>
      <c r="H67" s="558" t="s">
        <v>262</v>
      </c>
      <c r="I67" s="610">
        <v>9382777</v>
      </c>
      <c r="J67" s="554">
        <v>6960517</v>
      </c>
      <c r="K67" s="554">
        <v>0</v>
      </c>
      <c r="L67" s="431">
        <v>2352655</v>
      </c>
      <c r="M67" s="431">
        <v>69605</v>
      </c>
      <c r="N67" s="431">
        <v>0</v>
      </c>
      <c r="O67" s="611">
        <v>12</v>
      </c>
      <c r="P67" s="445">
        <f>W67*-1</f>
        <v>0</v>
      </c>
      <c r="Q67" s="325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 t="shared" ref="V67:V68" si="114">P67+Q67+R67+S67+T67+U67</f>
        <v>0</v>
      </c>
      <c r="W67" s="325">
        <v>0</v>
      </c>
      <c r="X67" s="325">
        <v>0</v>
      </c>
      <c r="Y67" s="325">
        <v>0</v>
      </c>
      <c r="Z67" s="492">
        <f t="shared" ref="Z67:Z68" si="115">W67+X67+Y67</f>
        <v>0</v>
      </c>
      <c r="AA67" s="492">
        <f t="shared" ref="AA67:AA68" si="116">V67+Z67</f>
        <v>0</v>
      </c>
      <c r="AB67" s="494">
        <f t="shared" ref="AB67:AB68" si="117">ROUND((V67+Z67)*33.8%,0)</f>
        <v>0</v>
      </c>
      <c r="AC67" s="55">
        <f>ROUND(V67*1%,0)</f>
        <v>0</v>
      </c>
      <c r="AD67" s="492">
        <v>0</v>
      </c>
      <c r="AE67" s="753">
        <f t="shared" ref="AE67:AE68" si="118">AA67+AB67+AC67+AD67</f>
        <v>0</v>
      </c>
      <c r="AF67" s="688">
        <v>0</v>
      </c>
      <c r="AG67" s="326">
        <v>0</v>
      </c>
      <c r="AH67" s="326">
        <v>0</v>
      </c>
      <c r="AI67" s="326">
        <v>0</v>
      </c>
      <c r="AJ67" s="326">
        <v>0</v>
      </c>
      <c r="AK67" s="326">
        <v>0</v>
      </c>
      <c r="AL67" s="609">
        <f t="shared" ref="AL67:AL68" si="119">SUM(AF67:AK67)</f>
        <v>0</v>
      </c>
      <c r="AM67" s="493">
        <f>I67+AE67</f>
        <v>9382777</v>
      </c>
      <c r="AN67" s="492">
        <f>J67+V67</f>
        <v>6960517</v>
      </c>
      <c r="AO67" s="573">
        <f t="shared" ref="AO67:AO68" si="120">K67+Z67</f>
        <v>0</v>
      </c>
      <c r="AP67" s="492">
        <f>L67+AB67</f>
        <v>2352655</v>
      </c>
      <c r="AQ67" s="492">
        <f>M67+AC67</f>
        <v>69605</v>
      </c>
      <c r="AR67" s="492">
        <f t="shared" ref="AR67:AR68" si="121">N67+AD67</f>
        <v>0</v>
      </c>
      <c r="AS67" s="491">
        <f t="shared" ref="AS67:AS68" si="122">O67+AL67</f>
        <v>12</v>
      </c>
    </row>
    <row r="68" spans="1:45" x14ac:dyDescent="0.2">
      <c r="A68" s="136">
        <v>15</v>
      </c>
      <c r="B68" s="137">
        <v>3442</v>
      </c>
      <c r="C68" s="137">
        <v>600078205</v>
      </c>
      <c r="D68" s="137">
        <v>72743638</v>
      </c>
      <c r="E68" s="135" t="s">
        <v>778</v>
      </c>
      <c r="F68" s="137">
        <v>3111</v>
      </c>
      <c r="G68" s="138" t="s">
        <v>278</v>
      </c>
      <c r="H68" s="558" t="s">
        <v>263</v>
      </c>
      <c r="I68" s="580">
        <v>2347842</v>
      </c>
      <c r="J68" s="490">
        <v>1741723</v>
      </c>
      <c r="K68" s="554">
        <v>0</v>
      </c>
      <c r="L68" s="431">
        <v>588702</v>
      </c>
      <c r="M68" s="431">
        <v>17417</v>
      </c>
      <c r="N68" s="431">
        <v>0</v>
      </c>
      <c r="O68" s="614">
        <v>4.3899999999999997</v>
      </c>
      <c r="P68" s="440">
        <f>W68*-1</f>
        <v>0</v>
      </c>
      <c r="Q68" s="325">
        <v>0</v>
      </c>
      <c r="R68" s="325">
        <v>0</v>
      </c>
      <c r="S68" s="325">
        <v>0</v>
      </c>
      <c r="T68" s="325">
        <v>0</v>
      </c>
      <c r="U68" s="325">
        <v>0</v>
      </c>
      <c r="V68" s="492">
        <f t="shared" si="114"/>
        <v>0</v>
      </c>
      <c r="W68" s="325">
        <v>0</v>
      </c>
      <c r="X68" s="325">
        <v>0</v>
      </c>
      <c r="Y68" s="325">
        <v>0</v>
      </c>
      <c r="Z68" s="492">
        <f t="shared" si="115"/>
        <v>0</v>
      </c>
      <c r="AA68" s="492">
        <f t="shared" si="116"/>
        <v>0</v>
      </c>
      <c r="AB68" s="494">
        <f t="shared" si="117"/>
        <v>0</v>
      </c>
      <c r="AC68" s="55">
        <f>ROUND(V68*1%,0)</f>
        <v>0</v>
      </c>
      <c r="AD68" s="492">
        <v>0</v>
      </c>
      <c r="AE68" s="753">
        <f t="shared" si="118"/>
        <v>0</v>
      </c>
      <c r="AF68" s="688">
        <v>0</v>
      </c>
      <c r="AG68" s="326">
        <v>0</v>
      </c>
      <c r="AH68" s="326">
        <v>0</v>
      </c>
      <c r="AI68" s="326">
        <v>0</v>
      </c>
      <c r="AJ68" s="326">
        <v>0</v>
      </c>
      <c r="AK68" s="326">
        <v>0</v>
      </c>
      <c r="AL68" s="609">
        <f t="shared" si="119"/>
        <v>0</v>
      </c>
      <c r="AM68" s="493">
        <f>I68+AE68</f>
        <v>2347842</v>
      </c>
      <c r="AN68" s="492">
        <f>J68+V68</f>
        <v>1741723</v>
      </c>
      <c r="AO68" s="573">
        <f t="shared" si="120"/>
        <v>0</v>
      </c>
      <c r="AP68" s="492">
        <f>L68+AB68</f>
        <v>588702</v>
      </c>
      <c r="AQ68" s="492">
        <f>M68+AC68</f>
        <v>17417</v>
      </c>
      <c r="AR68" s="492">
        <f t="shared" si="121"/>
        <v>0</v>
      </c>
      <c r="AS68" s="491">
        <f t="shared" si="122"/>
        <v>4.3899999999999997</v>
      </c>
    </row>
    <row r="69" spans="1:45" x14ac:dyDescent="0.2">
      <c r="A69" s="107">
        <v>15</v>
      </c>
      <c r="B69" s="15">
        <v>3442</v>
      </c>
      <c r="C69" s="15">
        <v>600078205</v>
      </c>
      <c r="D69" s="15">
        <v>72743638</v>
      </c>
      <c r="E69" s="116" t="s">
        <v>108</v>
      </c>
      <c r="F69" s="15"/>
      <c r="G69" s="106"/>
      <c r="H69" s="555"/>
      <c r="I69" s="758">
        <v>11730619</v>
      </c>
      <c r="J69" s="343">
        <v>8702240</v>
      </c>
      <c r="K69" s="343">
        <v>0</v>
      </c>
      <c r="L69" s="343">
        <v>2941357</v>
      </c>
      <c r="M69" s="343">
        <v>87022</v>
      </c>
      <c r="N69" s="343">
        <v>0</v>
      </c>
      <c r="O69" s="35">
        <v>16.39</v>
      </c>
      <c r="P69" s="346">
        <f t="shared" ref="P69:AS69" si="123">SUM(P67:P68)</f>
        <v>0</v>
      </c>
      <c r="Q69" s="343">
        <f t="shared" si="123"/>
        <v>0</v>
      </c>
      <c r="R69" s="343">
        <f t="shared" si="123"/>
        <v>0</v>
      </c>
      <c r="S69" s="343">
        <f t="shared" si="123"/>
        <v>0</v>
      </c>
      <c r="T69" s="343">
        <f t="shared" si="123"/>
        <v>0</v>
      </c>
      <c r="U69" s="343">
        <f t="shared" si="123"/>
        <v>0</v>
      </c>
      <c r="V69" s="343">
        <f t="shared" si="123"/>
        <v>0</v>
      </c>
      <c r="W69" s="343">
        <f t="shared" si="123"/>
        <v>0</v>
      </c>
      <c r="X69" s="343">
        <f t="shared" si="123"/>
        <v>0</v>
      </c>
      <c r="Y69" s="343">
        <f t="shared" si="123"/>
        <v>0</v>
      </c>
      <c r="Z69" s="343">
        <f t="shared" si="123"/>
        <v>0</v>
      </c>
      <c r="AA69" s="343">
        <f t="shared" si="123"/>
        <v>0</v>
      </c>
      <c r="AB69" s="343">
        <f t="shared" si="123"/>
        <v>0</v>
      </c>
      <c r="AC69" s="343">
        <f t="shared" si="123"/>
        <v>0</v>
      </c>
      <c r="AD69" s="343">
        <f t="shared" si="123"/>
        <v>0</v>
      </c>
      <c r="AE69" s="763">
        <f t="shared" si="123"/>
        <v>0</v>
      </c>
      <c r="AF69" s="767">
        <f t="shared" si="123"/>
        <v>0</v>
      </c>
      <c r="AG69" s="344">
        <f t="shared" si="123"/>
        <v>0</v>
      </c>
      <c r="AH69" s="344">
        <f t="shared" si="123"/>
        <v>0</v>
      </c>
      <c r="AI69" s="344">
        <f t="shared" si="123"/>
        <v>0</v>
      </c>
      <c r="AJ69" s="344">
        <f t="shared" si="123"/>
        <v>0</v>
      </c>
      <c r="AK69" s="344">
        <f t="shared" si="123"/>
        <v>0</v>
      </c>
      <c r="AL69" s="35">
        <f t="shared" si="123"/>
        <v>0</v>
      </c>
      <c r="AM69" s="346">
        <f t="shared" si="123"/>
        <v>11730619</v>
      </c>
      <c r="AN69" s="343">
        <f t="shared" si="123"/>
        <v>8702240</v>
      </c>
      <c r="AO69" s="343">
        <f t="shared" si="123"/>
        <v>0</v>
      </c>
      <c r="AP69" s="343">
        <f t="shared" si="123"/>
        <v>2941357</v>
      </c>
      <c r="AQ69" s="343">
        <f t="shared" si="123"/>
        <v>87022</v>
      </c>
      <c r="AR69" s="343">
        <f t="shared" si="123"/>
        <v>0</v>
      </c>
      <c r="AS69" s="344">
        <f t="shared" si="123"/>
        <v>16.39</v>
      </c>
    </row>
    <row r="70" spans="1:45" x14ac:dyDescent="0.2">
      <c r="A70" s="136">
        <v>16</v>
      </c>
      <c r="B70" s="137">
        <v>3452</v>
      </c>
      <c r="C70" s="137">
        <v>600078264</v>
      </c>
      <c r="D70" s="137">
        <v>72743557</v>
      </c>
      <c r="E70" s="135" t="s">
        <v>779</v>
      </c>
      <c r="F70" s="137">
        <v>3113</v>
      </c>
      <c r="G70" s="138" t="s">
        <v>280</v>
      </c>
      <c r="H70" s="558" t="s">
        <v>262</v>
      </c>
      <c r="I70" s="580">
        <v>18868877</v>
      </c>
      <c r="J70" s="490">
        <v>13907557</v>
      </c>
      <c r="K70" s="554">
        <v>90800</v>
      </c>
      <c r="L70" s="431">
        <v>4731444</v>
      </c>
      <c r="M70" s="431">
        <v>139076</v>
      </c>
      <c r="N70" s="431">
        <v>0</v>
      </c>
      <c r="O70" s="614">
        <v>20.130000000000003</v>
      </c>
      <c r="P70" s="440">
        <f>W70*-1</f>
        <v>-42000</v>
      </c>
      <c r="Q70" s="325">
        <v>0</v>
      </c>
      <c r="R70" s="325">
        <v>0</v>
      </c>
      <c r="S70" s="325">
        <v>0</v>
      </c>
      <c r="T70" s="325">
        <v>0</v>
      </c>
      <c r="U70" s="325">
        <v>0</v>
      </c>
      <c r="V70" s="492">
        <f t="shared" ref="V70:V73" si="124">P70+Q70+R70+S70+T70+U70</f>
        <v>-42000</v>
      </c>
      <c r="W70" s="325">
        <v>42000</v>
      </c>
      <c r="X70" s="325">
        <v>0</v>
      </c>
      <c r="Y70" s="325">
        <v>0</v>
      </c>
      <c r="Z70" s="492">
        <f t="shared" ref="Z70:Z73" si="125">W70+X70+Y70</f>
        <v>42000</v>
      </c>
      <c r="AA70" s="492">
        <f t="shared" ref="AA70:AA73" si="126">V70+Z70</f>
        <v>0</v>
      </c>
      <c r="AB70" s="494">
        <f t="shared" ref="AB70:AB73" si="127">ROUND((V70+Z70)*33.8%,0)</f>
        <v>0</v>
      </c>
      <c r="AC70" s="55">
        <f>ROUND(V70*1%,0)</f>
        <v>-420</v>
      </c>
      <c r="AD70" s="492">
        <v>0</v>
      </c>
      <c r="AE70" s="753">
        <f t="shared" ref="AE70:AE73" si="128">AA70+AB70+AC70+AD70</f>
        <v>-420</v>
      </c>
      <c r="AF70" s="688">
        <v>-0.03</v>
      </c>
      <c r="AG70" s="326">
        <v>0</v>
      </c>
      <c r="AH70" s="326">
        <v>0</v>
      </c>
      <c r="AI70" s="326">
        <v>0</v>
      </c>
      <c r="AJ70" s="326">
        <v>0</v>
      </c>
      <c r="AK70" s="326">
        <v>0</v>
      </c>
      <c r="AL70" s="609">
        <f t="shared" ref="AL70:AL73" si="129">SUM(AF70:AK70)</f>
        <v>-0.03</v>
      </c>
      <c r="AM70" s="493">
        <f>I70+AE70</f>
        <v>18868457</v>
      </c>
      <c r="AN70" s="492">
        <f>J70+V70</f>
        <v>13865557</v>
      </c>
      <c r="AO70" s="573">
        <f t="shared" ref="AO70:AO73" si="130">K70+Z70</f>
        <v>132800</v>
      </c>
      <c r="AP70" s="492">
        <f t="shared" ref="AP70:AR73" si="131">L70+AB70</f>
        <v>4731444</v>
      </c>
      <c r="AQ70" s="492">
        <f t="shared" si="131"/>
        <v>138656</v>
      </c>
      <c r="AR70" s="492">
        <f t="shared" si="131"/>
        <v>0</v>
      </c>
      <c r="AS70" s="491">
        <f t="shared" ref="AS70:AS73" si="132">O70+AL70</f>
        <v>20.100000000000001</v>
      </c>
    </row>
    <row r="71" spans="1:45" x14ac:dyDescent="0.2">
      <c r="A71" s="136">
        <v>16</v>
      </c>
      <c r="B71" s="137">
        <v>3452</v>
      </c>
      <c r="C71" s="137">
        <v>600078264</v>
      </c>
      <c r="D71" s="137">
        <v>72743557</v>
      </c>
      <c r="E71" s="135" t="s">
        <v>779</v>
      </c>
      <c r="F71" s="137">
        <v>3113</v>
      </c>
      <c r="G71" s="138" t="s">
        <v>799</v>
      </c>
      <c r="H71" s="558" t="s">
        <v>262</v>
      </c>
      <c r="I71" s="580">
        <v>333703</v>
      </c>
      <c r="J71" s="490">
        <v>247554</v>
      </c>
      <c r="K71" s="554">
        <v>0</v>
      </c>
      <c r="L71" s="431">
        <v>83673</v>
      </c>
      <c r="M71" s="431">
        <v>2476</v>
      </c>
      <c r="N71" s="431">
        <v>0</v>
      </c>
      <c r="O71" s="614">
        <v>0.5</v>
      </c>
      <c r="P71" s="440">
        <f>W71*-1</f>
        <v>0</v>
      </c>
      <c r="Q71" s="325">
        <v>0</v>
      </c>
      <c r="R71" s="325">
        <v>0</v>
      </c>
      <c r="S71" s="325">
        <v>0</v>
      </c>
      <c r="T71" s="325">
        <v>0</v>
      </c>
      <c r="U71" s="325">
        <v>0</v>
      </c>
      <c r="V71" s="492">
        <f t="shared" si="124"/>
        <v>0</v>
      </c>
      <c r="W71" s="325">
        <v>0</v>
      </c>
      <c r="X71" s="325">
        <v>0</v>
      </c>
      <c r="Y71" s="325">
        <v>0</v>
      </c>
      <c r="Z71" s="492">
        <f t="shared" si="125"/>
        <v>0</v>
      </c>
      <c r="AA71" s="492">
        <f t="shared" si="126"/>
        <v>0</v>
      </c>
      <c r="AB71" s="494">
        <f t="shared" si="127"/>
        <v>0</v>
      </c>
      <c r="AC71" s="55">
        <f>ROUND(V71*1%,0)</f>
        <v>0</v>
      </c>
      <c r="AD71" s="492">
        <v>0</v>
      </c>
      <c r="AE71" s="753">
        <f t="shared" si="128"/>
        <v>0</v>
      </c>
      <c r="AF71" s="688">
        <v>0</v>
      </c>
      <c r="AG71" s="326">
        <v>0</v>
      </c>
      <c r="AH71" s="326">
        <v>0</v>
      </c>
      <c r="AI71" s="326">
        <v>0</v>
      </c>
      <c r="AJ71" s="326">
        <v>0</v>
      </c>
      <c r="AK71" s="326">
        <v>0</v>
      </c>
      <c r="AL71" s="609">
        <f t="shared" si="129"/>
        <v>0</v>
      </c>
      <c r="AM71" s="493">
        <f>I71+AE71</f>
        <v>333703</v>
      </c>
      <c r="AN71" s="492">
        <f>J71+V71</f>
        <v>247554</v>
      </c>
      <c r="AO71" s="573">
        <f t="shared" si="130"/>
        <v>0</v>
      </c>
      <c r="AP71" s="492">
        <f t="shared" si="131"/>
        <v>83673</v>
      </c>
      <c r="AQ71" s="492">
        <f t="shared" si="131"/>
        <v>2476</v>
      </c>
      <c r="AR71" s="492">
        <f t="shared" si="131"/>
        <v>0</v>
      </c>
      <c r="AS71" s="491">
        <f t="shared" si="132"/>
        <v>0.5</v>
      </c>
    </row>
    <row r="72" spans="1:45" x14ac:dyDescent="0.2">
      <c r="A72" s="136">
        <v>16</v>
      </c>
      <c r="B72" s="137">
        <v>3452</v>
      </c>
      <c r="C72" s="137">
        <v>600078264</v>
      </c>
      <c r="D72" s="137">
        <v>72743557</v>
      </c>
      <c r="E72" s="135" t="s">
        <v>779</v>
      </c>
      <c r="F72" s="137">
        <v>3113</v>
      </c>
      <c r="G72" s="138" t="s">
        <v>278</v>
      </c>
      <c r="H72" s="558" t="s">
        <v>263</v>
      </c>
      <c r="I72" s="580">
        <v>4581114</v>
      </c>
      <c r="J72" s="490">
        <v>3398452</v>
      </c>
      <c r="K72" s="554">
        <v>0</v>
      </c>
      <c r="L72" s="431">
        <v>1148677</v>
      </c>
      <c r="M72" s="431">
        <v>33985</v>
      </c>
      <c r="N72" s="431">
        <v>0</v>
      </c>
      <c r="O72" s="614">
        <v>8.5399999999999991</v>
      </c>
      <c r="P72" s="440">
        <f>W72*-1</f>
        <v>0</v>
      </c>
      <c r="Q72" s="325">
        <v>132451</v>
      </c>
      <c r="R72" s="325">
        <v>0</v>
      </c>
      <c r="S72" s="325">
        <v>0</v>
      </c>
      <c r="T72" s="325">
        <v>0</v>
      </c>
      <c r="U72" s="325">
        <v>0</v>
      </c>
      <c r="V72" s="492">
        <f t="shared" si="124"/>
        <v>132451</v>
      </c>
      <c r="W72" s="325">
        <v>0</v>
      </c>
      <c r="X72" s="325">
        <v>0</v>
      </c>
      <c r="Y72" s="325">
        <v>0</v>
      </c>
      <c r="Z72" s="492">
        <f t="shared" si="125"/>
        <v>0</v>
      </c>
      <c r="AA72" s="492">
        <f t="shared" si="126"/>
        <v>132451</v>
      </c>
      <c r="AB72" s="494">
        <f t="shared" si="127"/>
        <v>44768</v>
      </c>
      <c r="AC72" s="55">
        <f>ROUND(V72*1%,0)</f>
        <v>1325</v>
      </c>
      <c r="AD72" s="492">
        <v>0</v>
      </c>
      <c r="AE72" s="753">
        <f t="shared" si="128"/>
        <v>178544</v>
      </c>
      <c r="AF72" s="688">
        <v>0</v>
      </c>
      <c r="AG72" s="326">
        <v>0.25</v>
      </c>
      <c r="AH72" s="326">
        <v>0</v>
      </c>
      <c r="AI72" s="326">
        <v>0</v>
      </c>
      <c r="AJ72" s="326">
        <v>0</v>
      </c>
      <c r="AK72" s="326">
        <v>0</v>
      </c>
      <c r="AL72" s="609">
        <f t="shared" si="129"/>
        <v>0.25</v>
      </c>
      <c r="AM72" s="493">
        <f>I72+AE72</f>
        <v>4759658</v>
      </c>
      <c r="AN72" s="492">
        <f>J72+V72</f>
        <v>3530903</v>
      </c>
      <c r="AO72" s="573">
        <f t="shared" si="130"/>
        <v>0</v>
      </c>
      <c r="AP72" s="492">
        <f t="shared" si="131"/>
        <v>1193445</v>
      </c>
      <c r="AQ72" s="492">
        <f t="shared" si="131"/>
        <v>35310</v>
      </c>
      <c r="AR72" s="492">
        <f t="shared" si="131"/>
        <v>0</v>
      </c>
      <c r="AS72" s="491">
        <f t="shared" si="132"/>
        <v>8.7899999999999991</v>
      </c>
    </row>
    <row r="73" spans="1:45" x14ac:dyDescent="0.2">
      <c r="A73" s="136">
        <v>16</v>
      </c>
      <c r="B73" s="137">
        <v>3452</v>
      </c>
      <c r="C73" s="137">
        <v>600078264</v>
      </c>
      <c r="D73" s="137">
        <v>72743557</v>
      </c>
      <c r="E73" s="135" t="s">
        <v>779</v>
      </c>
      <c r="F73" s="137">
        <v>3143</v>
      </c>
      <c r="G73" s="138" t="s">
        <v>794</v>
      </c>
      <c r="H73" s="157" t="s">
        <v>262</v>
      </c>
      <c r="I73" s="580">
        <v>1956888</v>
      </c>
      <c r="J73" s="490">
        <v>1445742</v>
      </c>
      <c r="K73" s="554">
        <v>6000</v>
      </c>
      <c r="L73" s="431">
        <v>490689</v>
      </c>
      <c r="M73" s="431">
        <v>14457</v>
      </c>
      <c r="N73" s="431">
        <v>0</v>
      </c>
      <c r="O73" s="614">
        <v>2.79</v>
      </c>
      <c r="P73" s="440">
        <f>W73*-1</f>
        <v>-4000</v>
      </c>
      <c r="Q73" s="325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 t="shared" si="124"/>
        <v>-4000</v>
      </c>
      <c r="W73" s="325">
        <v>4000</v>
      </c>
      <c r="X73" s="325">
        <v>0</v>
      </c>
      <c r="Y73" s="325">
        <v>0</v>
      </c>
      <c r="Z73" s="492">
        <f t="shared" si="125"/>
        <v>4000</v>
      </c>
      <c r="AA73" s="492">
        <f t="shared" si="126"/>
        <v>0</v>
      </c>
      <c r="AB73" s="494">
        <f t="shared" si="127"/>
        <v>0</v>
      </c>
      <c r="AC73" s="55">
        <f>ROUND(V73*1%,0)</f>
        <v>-40</v>
      </c>
      <c r="AD73" s="492">
        <v>0</v>
      </c>
      <c r="AE73" s="753">
        <f t="shared" si="128"/>
        <v>-40</v>
      </c>
      <c r="AF73" s="688">
        <v>0</v>
      </c>
      <c r="AG73" s="326">
        <v>0</v>
      </c>
      <c r="AH73" s="326">
        <v>0</v>
      </c>
      <c r="AI73" s="326">
        <v>0</v>
      </c>
      <c r="AJ73" s="326">
        <v>0</v>
      </c>
      <c r="AK73" s="326">
        <v>0</v>
      </c>
      <c r="AL73" s="609">
        <f t="shared" si="129"/>
        <v>0</v>
      </c>
      <c r="AM73" s="493">
        <f>I73+AE73</f>
        <v>1956848</v>
      </c>
      <c r="AN73" s="492">
        <f>J73+V73</f>
        <v>1441742</v>
      </c>
      <c r="AO73" s="573">
        <f t="shared" si="130"/>
        <v>10000</v>
      </c>
      <c r="AP73" s="492">
        <f t="shared" si="131"/>
        <v>490689</v>
      </c>
      <c r="AQ73" s="492">
        <f t="shared" si="131"/>
        <v>14417</v>
      </c>
      <c r="AR73" s="492">
        <f t="shared" si="131"/>
        <v>0</v>
      </c>
      <c r="AS73" s="491">
        <f t="shared" si="132"/>
        <v>2.79</v>
      </c>
    </row>
    <row r="74" spans="1:45" x14ac:dyDescent="0.2">
      <c r="A74" s="107">
        <v>16</v>
      </c>
      <c r="B74" s="15">
        <v>3452</v>
      </c>
      <c r="C74" s="15">
        <v>600078264</v>
      </c>
      <c r="D74" s="15">
        <v>72743557</v>
      </c>
      <c r="E74" s="116" t="s">
        <v>109</v>
      </c>
      <c r="F74" s="15"/>
      <c r="G74" s="106"/>
      <c r="H74" s="555"/>
      <c r="I74" s="758">
        <v>25740582</v>
      </c>
      <c r="J74" s="343">
        <v>18999305</v>
      </c>
      <c r="K74" s="343">
        <v>96800</v>
      </c>
      <c r="L74" s="343">
        <v>6454483</v>
      </c>
      <c r="M74" s="343">
        <v>189994</v>
      </c>
      <c r="N74" s="343">
        <v>0</v>
      </c>
      <c r="O74" s="35">
        <v>31.96</v>
      </c>
      <c r="P74" s="346">
        <f t="shared" ref="P74:AS74" si="133">SUM(P70:P73)</f>
        <v>-46000</v>
      </c>
      <c r="Q74" s="343">
        <f t="shared" si="133"/>
        <v>132451</v>
      </c>
      <c r="R74" s="343">
        <f t="shared" si="133"/>
        <v>0</v>
      </c>
      <c r="S74" s="343">
        <f t="shared" si="133"/>
        <v>0</v>
      </c>
      <c r="T74" s="343">
        <f t="shared" si="133"/>
        <v>0</v>
      </c>
      <c r="U74" s="343">
        <f t="shared" si="133"/>
        <v>0</v>
      </c>
      <c r="V74" s="343">
        <f t="shared" si="133"/>
        <v>86451</v>
      </c>
      <c r="W74" s="343">
        <f t="shared" si="133"/>
        <v>46000</v>
      </c>
      <c r="X74" s="343">
        <f t="shared" si="133"/>
        <v>0</v>
      </c>
      <c r="Y74" s="343">
        <f t="shared" si="133"/>
        <v>0</v>
      </c>
      <c r="Z74" s="343">
        <f t="shared" si="133"/>
        <v>46000</v>
      </c>
      <c r="AA74" s="343">
        <f t="shared" si="133"/>
        <v>132451</v>
      </c>
      <c r="AB74" s="343">
        <f t="shared" si="133"/>
        <v>44768</v>
      </c>
      <c r="AC74" s="343">
        <f t="shared" si="133"/>
        <v>865</v>
      </c>
      <c r="AD74" s="343">
        <f t="shared" si="133"/>
        <v>0</v>
      </c>
      <c r="AE74" s="763">
        <f t="shared" si="133"/>
        <v>178084</v>
      </c>
      <c r="AF74" s="767">
        <f t="shared" si="133"/>
        <v>-0.03</v>
      </c>
      <c r="AG74" s="344">
        <f t="shared" si="133"/>
        <v>0.25</v>
      </c>
      <c r="AH74" s="344">
        <f t="shared" si="133"/>
        <v>0</v>
      </c>
      <c r="AI74" s="344">
        <f t="shared" si="133"/>
        <v>0</v>
      </c>
      <c r="AJ74" s="344">
        <f t="shared" si="133"/>
        <v>0</v>
      </c>
      <c r="AK74" s="344">
        <f t="shared" si="133"/>
        <v>0</v>
      </c>
      <c r="AL74" s="35">
        <f t="shared" si="133"/>
        <v>0.22</v>
      </c>
      <c r="AM74" s="346">
        <f t="shared" si="133"/>
        <v>25918666</v>
      </c>
      <c r="AN74" s="343">
        <f t="shared" si="133"/>
        <v>19085756</v>
      </c>
      <c r="AO74" s="343">
        <f t="shared" si="133"/>
        <v>142800</v>
      </c>
      <c r="AP74" s="343">
        <f t="shared" si="133"/>
        <v>6499251</v>
      </c>
      <c r="AQ74" s="343">
        <f t="shared" si="133"/>
        <v>190859</v>
      </c>
      <c r="AR74" s="343">
        <f t="shared" si="133"/>
        <v>0</v>
      </c>
      <c r="AS74" s="344">
        <f t="shared" si="133"/>
        <v>32.18</v>
      </c>
    </row>
    <row r="75" spans="1:45" x14ac:dyDescent="0.2">
      <c r="A75" s="136">
        <v>17</v>
      </c>
      <c r="B75" s="137">
        <v>3445</v>
      </c>
      <c r="C75" s="137">
        <v>600078604</v>
      </c>
      <c r="D75" s="137">
        <v>70695849</v>
      </c>
      <c r="E75" s="135" t="s">
        <v>110</v>
      </c>
      <c r="F75" s="137">
        <v>3111</v>
      </c>
      <c r="G75" s="138" t="s">
        <v>277</v>
      </c>
      <c r="H75" s="558" t="s">
        <v>262</v>
      </c>
      <c r="I75" s="610">
        <v>1597619</v>
      </c>
      <c r="J75" s="554">
        <v>1185177</v>
      </c>
      <c r="K75" s="554">
        <v>0</v>
      </c>
      <c r="L75" s="431">
        <v>400590</v>
      </c>
      <c r="M75" s="431">
        <v>11852</v>
      </c>
      <c r="N75" s="431">
        <v>0</v>
      </c>
      <c r="O75" s="611">
        <v>2</v>
      </c>
      <c r="P75" s="445">
        <f>W75*-1</f>
        <v>0</v>
      </c>
      <c r="Q75" s="325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 t="shared" ref="V75:V78" si="134">P75+Q75+R75+S75+T75+U75</f>
        <v>0</v>
      </c>
      <c r="W75" s="325">
        <v>0</v>
      </c>
      <c r="X75" s="325">
        <v>0</v>
      </c>
      <c r="Y75" s="325">
        <v>0</v>
      </c>
      <c r="Z75" s="492">
        <f t="shared" ref="Z75:Z78" si="135">W75+X75+Y75</f>
        <v>0</v>
      </c>
      <c r="AA75" s="492">
        <f t="shared" ref="AA75:AA78" si="136">V75+Z75</f>
        <v>0</v>
      </c>
      <c r="AB75" s="494">
        <f t="shared" ref="AB75:AB78" si="137">ROUND((V75+Z75)*33.8%,0)</f>
        <v>0</v>
      </c>
      <c r="AC75" s="55">
        <f>ROUND(V75*1%,0)</f>
        <v>0</v>
      </c>
      <c r="AD75" s="492">
        <v>0</v>
      </c>
      <c r="AE75" s="753">
        <f t="shared" ref="AE75:AE78" si="138">AA75+AB75+AC75+AD75</f>
        <v>0</v>
      </c>
      <c r="AF75" s="688">
        <v>0</v>
      </c>
      <c r="AG75" s="326">
        <v>0</v>
      </c>
      <c r="AH75" s="326">
        <v>0</v>
      </c>
      <c r="AI75" s="326">
        <v>0</v>
      </c>
      <c r="AJ75" s="326">
        <v>0</v>
      </c>
      <c r="AK75" s="326">
        <v>0</v>
      </c>
      <c r="AL75" s="609">
        <f t="shared" ref="AL75:AL78" si="139">SUM(AF75:AK75)</f>
        <v>0</v>
      </c>
      <c r="AM75" s="493">
        <f>I75+AE75</f>
        <v>1597619</v>
      </c>
      <c r="AN75" s="492">
        <f>J75+V75</f>
        <v>1185177</v>
      </c>
      <c r="AO75" s="573">
        <f t="shared" ref="AO75:AO78" si="140">K75+Z75</f>
        <v>0</v>
      </c>
      <c r="AP75" s="492">
        <f t="shared" ref="AP75:AR78" si="141">L75+AB75</f>
        <v>400590</v>
      </c>
      <c r="AQ75" s="492">
        <f t="shared" si="141"/>
        <v>11852</v>
      </c>
      <c r="AR75" s="492">
        <f t="shared" si="141"/>
        <v>0</v>
      </c>
      <c r="AS75" s="491">
        <f t="shared" ref="AS75:AS78" si="142">O75+AL75</f>
        <v>2</v>
      </c>
    </row>
    <row r="76" spans="1:45" x14ac:dyDescent="0.2">
      <c r="A76" s="136">
        <v>17</v>
      </c>
      <c r="B76" s="137">
        <v>3445</v>
      </c>
      <c r="C76" s="137">
        <v>600078604</v>
      </c>
      <c r="D76" s="137">
        <v>70695849</v>
      </c>
      <c r="E76" s="135" t="s">
        <v>110</v>
      </c>
      <c r="F76" s="137">
        <v>3117</v>
      </c>
      <c r="G76" s="138" t="s">
        <v>280</v>
      </c>
      <c r="H76" s="558" t="s">
        <v>262</v>
      </c>
      <c r="I76" s="580">
        <v>2132113</v>
      </c>
      <c r="J76" s="490">
        <v>1581686</v>
      </c>
      <c r="K76" s="554">
        <v>0</v>
      </c>
      <c r="L76" s="431">
        <v>534610</v>
      </c>
      <c r="M76" s="431">
        <v>15817</v>
      </c>
      <c r="N76" s="431">
        <v>0</v>
      </c>
      <c r="O76" s="614">
        <v>2.36</v>
      </c>
      <c r="P76" s="440">
        <f>W76*-1</f>
        <v>0</v>
      </c>
      <c r="Q76" s="325">
        <v>0</v>
      </c>
      <c r="R76" s="325">
        <v>0</v>
      </c>
      <c r="S76" s="325">
        <v>0</v>
      </c>
      <c r="T76" s="325">
        <v>0</v>
      </c>
      <c r="U76" s="325">
        <v>0</v>
      </c>
      <c r="V76" s="492">
        <f t="shared" si="134"/>
        <v>0</v>
      </c>
      <c r="W76" s="325">
        <v>0</v>
      </c>
      <c r="X76" s="325">
        <v>0</v>
      </c>
      <c r="Y76" s="325">
        <v>0</v>
      </c>
      <c r="Z76" s="492">
        <f t="shared" si="135"/>
        <v>0</v>
      </c>
      <c r="AA76" s="492">
        <f t="shared" si="136"/>
        <v>0</v>
      </c>
      <c r="AB76" s="494">
        <f t="shared" si="137"/>
        <v>0</v>
      </c>
      <c r="AC76" s="55">
        <f>ROUND(V76*1%,0)</f>
        <v>0</v>
      </c>
      <c r="AD76" s="492">
        <v>0</v>
      </c>
      <c r="AE76" s="753">
        <f t="shared" si="138"/>
        <v>0</v>
      </c>
      <c r="AF76" s="688">
        <v>0</v>
      </c>
      <c r="AG76" s="326">
        <v>0</v>
      </c>
      <c r="AH76" s="326">
        <v>0</v>
      </c>
      <c r="AI76" s="326">
        <v>0</v>
      </c>
      <c r="AJ76" s="326">
        <v>0</v>
      </c>
      <c r="AK76" s="326">
        <v>0</v>
      </c>
      <c r="AL76" s="609">
        <f t="shared" si="139"/>
        <v>0</v>
      </c>
      <c r="AM76" s="493">
        <f>I76+AE76</f>
        <v>2132113</v>
      </c>
      <c r="AN76" s="492">
        <f>J76+V76</f>
        <v>1581686</v>
      </c>
      <c r="AO76" s="573">
        <f t="shared" si="140"/>
        <v>0</v>
      </c>
      <c r="AP76" s="492">
        <f t="shared" si="141"/>
        <v>534610</v>
      </c>
      <c r="AQ76" s="492">
        <f t="shared" si="141"/>
        <v>15817</v>
      </c>
      <c r="AR76" s="492">
        <f t="shared" si="141"/>
        <v>0</v>
      </c>
      <c r="AS76" s="491">
        <f t="shared" si="142"/>
        <v>2.36</v>
      </c>
    </row>
    <row r="77" spans="1:45" x14ac:dyDescent="0.2">
      <c r="A77" s="136">
        <v>17</v>
      </c>
      <c r="B77" s="137">
        <v>3445</v>
      </c>
      <c r="C77" s="137">
        <v>600078604</v>
      </c>
      <c r="D77" s="137">
        <v>70695849</v>
      </c>
      <c r="E77" s="135" t="s">
        <v>110</v>
      </c>
      <c r="F77" s="137">
        <v>3117</v>
      </c>
      <c r="G77" s="138" t="s">
        <v>278</v>
      </c>
      <c r="H77" s="558" t="s">
        <v>263</v>
      </c>
      <c r="I77" s="580">
        <v>107127</v>
      </c>
      <c r="J77" s="490">
        <v>79471</v>
      </c>
      <c r="K77" s="554">
        <v>0</v>
      </c>
      <c r="L77" s="431">
        <v>26861</v>
      </c>
      <c r="M77" s="431">
        <v>795</v>
      </c>
      <c r="N77" s="431">
        <v>0</v>
      </c>
      <c r="O77" s="614">
        <v>0.15</v>
      </c>
      <c r="P77" s="440">
        <f>W77*-1</f>
        <v>0</v>
      </c>
      <c r="Q77" s="325">
        <v>0</v>
      </c>
      <c r="R77" s="325">
        <v>0</v>
      </c>
      <c r="S77" s="325">
        <v>0</v>
      </c>
      <c r="T77" s="325">
        <v>0</v>
      </c>
      <c r="U77" s="325">
        <v>0</v>
      </c>
      <c r="V77" s="492">
        <f t="shared" si="134"/>
        <v>0</v>
      </c>
      <c r="W77" s="325">
        <v>0</v>
      </c>
      <c r="X77" s="325">
        <v>0</v>
      </c>
      <c r="Y77" s="325">
        <v>0</v>
      </c>
      <c r="Z77" s="492">
        <f t="shared" si="135"/>
        <v>0</v>
      </c>
      <c r="AA77" s="492">
        <f t="shared" si="136"/>
        <v>0</v>
      </c>
      <c r="AB77" s="494">
        <f t="shared" si="137"/>
        <v>0</v>
      </c>
      <c r="AC77" s="55">
        <f>ROUND(V77*1%,0)</f>
        <v>0</v>
      </c>
      <c r="AD77" s="492">
        <v>0</v>
      </c>
      <c r="AE77" s="753">
        <f t="shared" si="138"/>
        <v>0</v>
      </c>
      <c r="AF77" s="688">
        <v>0</v>
      </c>
      <c r="AG77" s="326">
        <v>0</v>
      </c>
      <c r="AH77" s="326">
        <v>0</v>
      </c>
      <c r="AI77" s="326">
        <v>0</v>
      </c>
      <c r="AJ77" s="326">
        <v>0</v>
      </c>
      <c r="AK77" s="326">
        <v>0</v>
      </c>
      <c r="AL77" s="609">
        <f t="shared" si="139"/>
        <v>0</v>
      </c>
      <c r="AM77" s="493">
        <f>I77+AE77</f>
        <v>107127</v>
      </c>
      <c r="AN77" s="492">
        <f>J77+V77</f>
        <v>79471</v>
      </c>
      <c r="AO77" s="573">
        <f t="shared" si="140"/>
        <v>0</v>
      </c>
      <c r="AP77" s="492">
        <f t="shared" si="141"/>
        <v>26861</v>
      </c>
      <c r="AQ77" s="492">
        <f t="shared" si="141"/>
        <v>795</v>
      </c>
      <c r="AR77" s="492">
        <f t="shared" si="141"/>
        <v>0</v>
      </c>
      <c r="AS77" s="491">
        <f t="shared" si="142"/>
        <v>0.15</v>
      </c>
    </row>
    <row r="78" spans="1:45" s="3" customFormat="1" x14ac:dyDescent="0.2">
      <c r="A78" s="136">
        <v>17</v>
      </c>
      <c r="B78" s="137">
        <v>3445</v>
      </c>
      <c r="C78" s="137">
        <v>600078604</v>
      </c>
      <c r="D78" s="137">
        <v>70695849</v>
      </c>
      <c r="E78" s="135" t="s">
        <v>110</v>
      </c>
      <c r="F78" s="137">
        <v>3143</v>
      </c>
      <c r="G78" s="138" t="s">
        <v>795</v>
      </c>
      <c r="H78" s="157" t="s">
        <v>262</v>
      </c>
      <c r="I78" s="580">
        <v>593810</v>
      </c>
      <c r="J78" s="490">
        <v>440512</v>
      </c>
      <c r="K78" s="554">
        <v>0</v>
      </c>
      <c r="L78" s="431">
        <v>148893</v>
      </c>
      <c r="M78" s="431">
        <v>4405</v>
      </c>
      <c r="N78" s="431">
        <v>0</v>
      </c>
      <c r="O78" s="614">
        <v>0.88</v>
      </c>
      <c r="P78" s="440">
        <f>W78*-1</f>
        <v>0</v>
      </c>
      <c r="Q78" s="325">
        <v>0</v>
      </c>
      <c r="R78" s="325">
        <v>0</v>
      </c>
      <c r="S78" s="325">
        <v>0</v>
      </c>
      <c r="T78" s="325">
        <v>0</v>
      </c>
      <c r="U78" s="325">
        <v>0</v>
      </c>
      <c r="V78" s="492">
        <f t="shared" si="134"/>
        <v>0</v>
      </c>
      <c r="W78" s="325">
        <v>0</v>
      </c>
      <c r="X78" s="325">
        <v>0</v>
      </c>
      <c r="Y78" s="325">
        <v>0</v>
      </c>
      <c r="Z78" s="492">
        <f t="shared" si="135"/>
        <v>0</v>
      </c>
      <c r="AA78" s="492">
        <f t="shared" si="136"/>
        <v>0</v>
      </c>
      <c r="AB78" s="494">
        <f t="shared" si="137"/>
        <v>0</v>
      </c>
      <c r="AC78" s="55">
        <f>ROUND(V78*1%,0)</f>
        <v>0</v>
      </c>
      <c r="AD78" s="492">
        <v>0</v>
      </c>
      <c r="AE78" s="753">
        <f t="shared" si="138"/>
        <v>0</v>
      </c>
      <c r="AF78" s="688">
        <v>0</v>
      </c>
      <c r="AG78" s="326">
        <v>0</v>
      </c>
      <c r="AH78" s="326">
        <v>0</v>
      </c>
      <c r="AI78" s="326">
        <v>0</v>
      </c>
      <c r="AJ78" s="326">
        <v>0</v>
      </c>
      <c r="AK78" s="326">
        <v>0</v>
      </c>
      <c r="AL78" s="609">
        <f t="shared" si="139"/>
        <v>0</v>
      </c>
      <c r="AM78" s="493">
        <f>I78+AE78</f>
        <v>593810</v>
      </c>
      <c r="AN78" s="492">
        <f>J78+V78</f>
        <v>440512</v>
      </c>
      <c r="AO78" s="573">
        <f t="shared" si="140"/>
        <v>0</v>
      </c>
      <c r="AP78" s="492">
        <f t="shared" si="141"/>
        <v>148893</v>
      </c>
      <c r="AQ78" s="492">
        <f t="shared" si="141"/>
        <v>4405</v>
      </c>
      <c r="AR78" s="492">
        <f t="shared" si="141"/>
        <v>0</v>
      </c>
      <c r="AS78" s="491">
        <f t="shared" si="142"/>
        <v>0.88</v>
      </c>
    </row>
    <row r="79" spans="1:45" ht="13.5" thickBot="1" x14ac:dyDescent="0.25">
      <c r="A79" s="111">
        <v>17</v>
      </c>
      <c r="B79" s="30">
        <v>3445</v>
      </c>
      <c r="C79" s="30">
        <v>600078604</v>
      </c>
      <c r="D79" s="30">
        <v>70695849</v>
      </c>
      <c r="E79" s="165" t="s">
        <v>111</v>
      </c>
      <c r="F79" s="30"/>
      <c r="G79" s="112"/>
      <c r="H79" s="556"/>
      <c r="I79" s="759">
        <v>4430669</v>
      </c>
      <c r="J79" s="347">
        <v>3286846</v>
      </c>
      <c r="K79" s="347">
        <v>0</v>
      </c>
      <c r="L79" s="347">
        <v>1110954</v>
      </c>
      <c r="M79" s="347">
        <v>32869</v>
      </c>
      <c r="N79" s="347">
        <v>0</v>
      </c>
      <c r="O79" s="760">
        <v>5.39</v>
      </c>
      <c r="P79" s="761">
        <f t="shared" ref="P79:AS79" si="143">SUM(P75:P78)</f>
        <v>0</v>
      </c>
      <c r="Q79" s="454">
        <f t="shared" si="143"/>
        <v>0</v>
      </c>
      <c r="R79" s="454">
        <f t="shared" si="143"/>
        <v>0</v>
      </c>
      <c r="S79" s="454">
        <f t="shared" si="143"/>
        <v>0</v>
      </c>
      <c r="T79" s="454">
        <f t="shared" si="143"/>
        <v>0</v>
      </c>
      <c r="U79" s="454">
        <f t="shared" si="143"/>
        <v>0</v>
      </c>
      <c r="V79" s="454">
        <f t="shared" si="143"/>
        <v>0</v>
      </c>
      <c r="W79" s="454">
        <f t="shared" si="143"/>
        <v>0</v>
      </c>
      <c r="X79" s="454">
        <f t="shared" si="143"/>
        <v>0</v>
      </c>
      <c r="Y79" s="454">
        <f t="shared" si="143"/>
        <v>0</v>
      </c>
      <c r="Z79" s="454">
        <f t="shared" si="143"/>
        <v>0</v>
      </c>
      <c r="AA79" s="454">
        <f t="shared" si="143"/>
        <v>0</v>
      </c>
      <c r="AB79" s="454">
        <f t="shared" si="143"/>
        <v>0</v>
      </c>
      <c r="AC79" s="454">
        <f t="shared" si="143"/>
        <v>0</v>
      </c>
      <c r="AD79" s="454">
        <f t="shared" si="143"/>
        <v>0</v>
      </c>
      <c r="AE79" s="764">
        <f t="shared" si="143"/>
        <v>0</v>
      </c>
      <c r="AF79" s="768">
        <f t="shared" si="143"/>
        <v>0</v>
      </c>
      <c r="AG79" s="459">
        <f t="shared" si="143"/>
        <v>0</v>
      </c>
      <c r="AH79" s="459">
        <f t="shared" si="143"/>
        <v>0</v>
      </c>
      <c r="AI79" s="459">
        <f t="shared" si="143"/>
        <v>0</v>
      </c>
      <c r="AJ79" s="459">
        <f t="shared" si="143"/>
        <v>0</v>
      </c>
      <c r="AK79" s="459">
        <f t="shared" si="143"/>
        <v>0</v>
      </c>
      <c r="AL79" s="460">
        <f t="shared" si="143"/>
        <v>0</v>
      </c>
      <c r="AM79" s="447">
        <f t="shared" si="143"/>
        <v>4430669</v>
      </c>
      <c r="AN79" s="347">
        <f t="shared" si="143"/>
        <v>3286846</v>
      </c>
      <c r="AO79" s="347">
        <f t="shared" si="143"/>
        <v>0</v>
      </c>
      <c r="AP79" s="347">
        <f t="shared" si="143"/>
        <v>1110954</v>
      </c>
      <c r="AQ79" s="347">
        <f t="shared" si="143"/>
        <v>32869</v>
      </c>
      <c r="AR79" s="347">
        <f t="shared" si="143"/>
        <v>0</v>
      </c>
      <c r="AS79" s="348">
        <f t="shared" si="143"/>
        <v>5.39</v>
      </c>
    </row>
    <row r="80" spans="1:45" ht="13.5" thickBot="1" x14ac:dyDescent="0.25">
      <c r="A80" s="113"/>
      <c r="B80" s="27"/>
      <c r="C80" s="27"/>
      <c r="D80" s="27"/>
      <c r="E80" s="57" t="s">
        <v>727</v>
      </c>
      <c r="F80" s="27"/>
      <c r="G80" s="114"/>
      <c r="H80" s="593"/>
      <c r="I80" s="349">
        <f t="shared" ref="I80:AS80" si="144">I14+I16+I22+I27+I29+I34+I40+I43+I47+I52+I55+I59+I62+I66+I69+I74+I79</f>
        <v>258216267</v>
      </c>
      <c r="J80" s="602">
        <f t="shared" si="144"/>
        <v>190843969</v>
      </c>
      <c r="K80" s="602">
        <f t="shared" si="144"/>
        <v>716439</v>
      </c>
      <c r="L80" s="602">
        <f t="shared" si="144"/>
        <v>64747419</v>
      </c>
      <c r="M80" s="602">
        <f t="shared" si="144"/>
        <v>1908440</v>
      </c>
      <c r="N80" s="602">
        <f t="shared" si="144"/>
        <v>0</v>
      </c>
      <c r="O80" s="603">
        <f t="shared" si="144"/>
        <v>320.25999999999993</v>
      </c>
      <c r="P80" s="452">
        <f t="shared" si="144"/>
        <v>-327652</v>
      </c>
      <c r="Q80" s="452">
        <f t="shared" si="144"/>
        <v>796409</v>
      </c>
      <c r="R80" s="452">
        <f t="shared" si="144"/>
        <v>0</v>
      </c>
      <c r="S80" s="452">
        <f t="shared" si="144"/>
        <v>0</v>
      </c>
      <c r="T80" s="452">
        <f t="shared" si="144"/>
        <v>0</v>
      </c>
      <c r="U80" s="452">
        <f t="shared" si="144"/>
        <v>0</v>
      </c>
      <c r="V80" s="452">
        <f t="shared" si="144"/>
        <v>468757</v>
      </c>
      <c r="W80" s="452">
        <f t="shared" si="144"/>
        <v>327652</v>
      </c>
      <c r="X80" s="452">
        <f t="shared" si="144"/>
        <v>0</v>
      </c>
      <c r="Y80" s="452">
        <f t="shared" si="144"/>
        <v>0</v>
      </c>
      <c r="Z80" s="452">
        <f t="shared" si="144"/>
        <v>327652</v>
      </c>
      <c r="AA80" s="452">
        <f t="shared" si="144"/>
        <v>796409</v>
      </c>
      <c r="AB80" s="452">
        <f t="shared" si="144"/>
        <v>269186</v>
      </c>
      <c r="AC80" s="452">
        <f t="shared" si="144"/>
        <v>4688</v>
      </c>
      <c r="AD80" s="452">
        <f t="shared" si="144"/>
        <v>0</v>
      </c>
      <c r="AE80" s="765">
        <f t="shared" si="144"/>
        <v>1070283</v>
      </c>
      <c r="AF80" s="769">
        <f t="shared" si="144"/>
        <v>-0.24000000000000002</v>
      </c>
      <c r="AG80" s="453">
        <f t="shared" si="144"/>
        <v>1.58</v>
      </c>
      <c r="AH80" s="453">
        <f t="shared" si="144"/>
        <v>0</v>
      </c>
      <c r="AI80" s="453">
        <f t="shared" si="144"/>
        <v>0</v>
      </c>
      <c r="AJ80" s="453">
        <f t="shared" si="144"/>
        <v>0</v>
      </c>
      <c r="AK80" s="453">
        <f t="shared" si="144"/>
        <v>0</v>
      </c>
      <c r="AL80" s="770">
        <f t="shared" si="144"/>
        <v>1.3399999999999999</v>
      </c>
      <c r="AM80" s="350">
        <f t="shared" si="144"/>
        <v>259286550</v>
      </c>
      <c r="AN80" s="350">
        <f t="shared" si="144"/>
        <v>191312726</v>
      </c>
      <c r="AO80" s="350">
        <f t="shared" si="144"/>
        <v>1044091</v>
      </c>
      <c r="AP80" s="350">
        <f t="shared" si="144"/>
        <v>65016605</v>
      </c>
      <c r="AQ80" s="350">
        <f t="shared" si="144"/>
        <v>1913128</v>
      </c>
      <c r="AR80" s="350">
        <f t="shared" si="144"/>
        <v>0</v>
      </c>
      <c r="AS80" s="418">
        <f t="shared" si="144"/>
        <v>321.59999999999997</v>
      </c>
    </row>
    <row r="81" spans="4:45" x14ac:dyDescent="0.2">
      <c r="D81" s="8"/>
      <c r="E81" s="4"/>
      <c r="F81" s="8"/>
      <c r="G81" s="17"/>
      <c r="H81" s="4"/>
      <c r="I81" s="328">
        <f>SUM(J80:N80)</f>
        <v>258216267</v>
      </c>
      <c r="J81" s="328"/>
      <c r="K81" s="328"/>
      <c r="L81" s="328"/>
      <c r="M81" s="328"/>
      <c r="N81" s="328"/>
      <c r="O81" s="709"/>
      <c r="P81" s="328">
        <f>W80</f>
        <v>327652</v>
      </c>
      <c r="Q81" s="329"/>
      <c r="R81" s="329"/>
      <c r="S81" s="329"/>
      <c r="T81" s="328"/>
      <c r="U81" s="329"/>
      <c r="V81" s="330">
        <f>SUM(P80:U80)</f>
        <v>468757</v>
      </c>
      <c r="W81" s="330">
        <f>P80</f>
        <v>-327652</v>
      </c>
      <c r="X81" s="331"/>
      <c r="Y81" s="331"/>
      <c r="Z81" s="330">
        <f>SUM(W80:Y80)</f>
        <v>327652</v>
      </c>
      <c r="AA81" s="330">
        <f>V80+Z80</f>
        <v>796409</v>
      </c>
      <c r="AB81" s="332"/>
      <c r="AC81" s="332"/>
      <c r="AD81" s="330"/>
      <c r="AE81" s="330">
        <f>SUM(AA80:AD80)</f>
        <v>1070283</v>
      </c>
      <c r="AF81" s="333"/>
      <c r="AG81" s="333"/>
      <c r="AH81" s="333"/>
      <c r="AI81" s="333"/>
      <c r="AJ81" s="381"/>
      <c r="AK81" s="333"/>
      <c r="AL81" s="381">
        <f>SUM(AF80:AK80)</f>
        <v>1.34</v>
      </c>
      <c r="AM81" s="328">
        <f>SUM(AN80:AR80)</f>
        <v>259286550</v>
      </c>
      <c r="AN81" s="328"/>
      <c r="AO81" s="58"/>
      <c r="AP81" s="330"/>
      <c r="AQ81" s="330"/>
      <c r="AR81" s="330"/>
      <c r="AS81" s="329"/>
    </row>
    <row r="82" spans="4:45" ht="13.5" thickBot="1" x14ac:dyDescent="0.25">
      <c r="D82" s="8"/>
      <c r="E82" s="4"/>
      <c r="F82" s="8"/>
      <c r="G82" s="17"/>
      <c r="H82" s="4"/>
      <c r="I82" s="328">
        <f>SUM(J83:N83)</f>
        <v>258216267</v>
      </c>
      <c r="J82" s="328"/>
      <c r="K82" s="328"/>
      <c r="L82" s="328"/>
      <c r="M82" s="328"/>
      <c r="N82" s="328"/>
      <c r="O82" s="709"/>
      <c r="P82" s="328">
        <f>W83</f>
        <v>327652</v>
      </c>
      <c r="Q82" s="329"/>
      <c r="R82" s="329"/>
      <c r="S82" s="329"/>
      <c r="T82" s="328"/>
      <c r="U82" s="329"/>
      <c r="V82" s="330">
        <f>SUM(P83:U83)</f>
        <v>468757</v>
      </c>
      <c r="W82" s="330"/>
      <c r="X82" s="331"/>
      <c r="Y82" s="331"/>
      <c r="Z82" s="330">
        <f>SUM(W83:Y83)</f>
        <v>327652</v>
      </c>
      <c r="AA82" s="330">
        <f>V83+Z83</f>
        <v>796409</v>
      </c>
      <c r="AB82" s="332"/>
      <c r="AC82" s="332"/>
      <c r="AD82" s="330"/>
      <c r="AE82" s="330">
        <f>SUM(AA83:AD83)</f>
        <v>1070283</v>
      </c>
      <c r="AF82" s="333"/>
      <c r="AG82" s="333"/>
      <c r="AH82" s="333"/>
      <c r="AI82" s="333"/>
      <c r="AJ82" s="381"/>
      <c r="AK82" s="333"/>
      <c r="AL82" s="381">
        <f>SUM(AF83:AK83)</f>
        <v>1.34</v>
      </c>
      <c r="AM82" s="328">
        <f>AN83+AO83+AP83+AQ83</f>
        <v>259286550</v>
      </c>
      <c r="AN82" s="328"/>
      <c r="AO82" s="58"/>
      <c r="AP82" s="48"/>
      <c r="AQ82" s="48"/>
      <c r="AR82" s="48"/>
      <c r="AS82" s="329"/>
    </row>
    <row r="83" spans="4:45" ht="13.5" thickBot="1" x14ac:dyDescent="0.25">
      <c r="D83" s="8"/>
      <c r="E83" s="4"/>
      <c r="F83" s="8"/>
      <c r="G83" s="17"/>
      <c r="H83" s="360" t="s">
        <v>0</v>
      </c>
      <c r="I83" s="96">
        <f t="shared" ref="I83:AS83" si="145">SUM(I84:I93)</f>
        <v>258216267</v>
      </c>
      <c r="J83" s="31">
        <f t="shared" si="145"/>
        <v>190843969</v>
      </c>
      <c r="K83" s="31">
        <f t="shared" si="145"/>
        <v>716439</v>
      </c>
      <c r="L83" s="31">
        <f t="shared" si="145"/>
        <v>64747419</v>
      </c>
      <c r="M83" s="31">
        <f t="shared" si="145"/>
        <v>1908440</v>
      </c>
      <c r="N83" s="31">
        <f t="shared" si="145"/>
        <v>0</v>
      </c>
      <c r="O83" s="629">
        <f t="shared" si="145"/>
        <v>320.26</v>
      </c>
      <c r="P83" s="101">
        <f t="shared" si="145"/>
        <v>-327652</v>
      </c>
      <c r="Q83" s="31">
        <f t="shared" si="145"/>
        <v>796409</v>
      </c>
      <c r="R83" s="31">
        <f t="shared" si="145"/>
        <v>0</v>
      </c>
      <c r="S83" s="31">
        <f t="shared" si="145"/>
        <v>0</v>
      </c>
      <c r="T83" s="31">
        <f t="shared" si="145"/>
        <v>0</v>
      </c>
      <c r="U83" s="31">
        <f t="shared" si="145"/>
        <v>0</v>
      </c>
      <c r="V83" s="31">
        <f t="shared" si="145"/>
        <v>468757</v>
      </c>
      <c r="W83" s="31">
        <f t="shared" si="145"/>
        <v>327652</v>
      </c>
      <c r="X83" s="31">
        <f t="shared" si="145"/>
        <v>0</v>
      </c>
      <c r="Y83" s="31">
        <f t="shared" si="145"/>
        <v>0</v>
      </c>
      <c r="Z83" s="31">
        <f t="shared" si="145"/>
        <v>327652</v>
      </c>
      <c r="AA83" s="31">
        <f t="shared" si="145"/>
        <v>796409</v>
      </c>
      <c r="AB83" s="31">
        <f t="shared" si="145"/>
        <v>269186</v>
      </c>
      <c r="AC83" s="31">
        <f t="shared" si="145"/>
        <v>4688</v>
      </c>
      <c r="AD83" s="31">
        <f t="shared" si="145"/>
        <v>0</v>
      </c>
      <c r="AE83" s="624">
        <f t="shared" si="145"/>
        <v>1070283</v>
      </c>
      <c r="AF83" s="628">
        <f t="shared" si="145"/>
        <v>-0.24</v>
      </c>
      <c r="AG83" s="32">
        <f t="shared" si="145"/>
        <v>1.58</v>
      </c>
      <c r="AH83" s="32">
        <f t="shared" si="145"/>
        <v>0</v>
      </c>
      <c r="AI83" s="32">
        <f t="shared" si="145"/>
        <v>0</v>
      </c>
      <c r="AJ83" s="32">
        <f t="shared" si="145"/>
        <v>0</v>
      </c>
      <c r="AK83" s="32">
        <f t="shared" si="145"/>
        <v>0</v>
      </c>
      <c r="AL83" s="629">
        <f t="shared" si="145"/>
        <v>1.3399999999999999</v>
      </c>
      <c r="AM83" s="96">
        <f t="shared" si="145"/>
        <v>259286550</v>
      </c>
      <c r="AN83" s="31">
        <f t="shared" si="145"/>
        <v>191312726</v>
      </c>
      <c r="AO83" s="31">
        <f t="shared" si="145"/>
        <v>1044091</v>
      </c>
      <c r="AP83" s="31">
        <f t="shared" si="145"/>
        <v>65016605</v>
      </c>
      <c r="AQ83" s="31">
        <f t="shared" si="145"/>
        <v>1913128</v>
      </c>
      <c r="AR83" s="31">
        <f t="shared" si="145"/>
        <v>0</v>
      </c>
      <c r="AS83" s="32">
        <f t="shared" si="145"/>
        <v>321.59999999999991</v>
      </c>
    </row>
    <row r="84" spans="4:45" x14ac:dyDescent="0.2">
      <c r="D84" s="8"/>
      <c r="E84" s="4"/>
      <c r="F84" s="8"/>
      <c r="G84" s="17"/>
      <c r="H84" s="359">
        <v>3111</v>
      </c>
      <c r="I84" s="370">
        <f t="shared" ref="I84:AS84" si="146">SUMIF($F$12:$F$426,"=3111",I$12:I$426)</f>
        <v>53443140</v>
      </c>
      <c r="J84" s="371">
        <f t="shared" si="146"/>
        <v>39521182</v>
      </c>
      <c r="K84" s="371">
        <f t="shared" si="146"/>
        <v>126000</v>
      </c>
      <c r="L84" s="371">
        <f t="shared" si="146"/>
        <v>13400747</v>
      </c>
      <c r="M84" s="371">
        <f t="shared" si="146"/>
        <v>395211</v>
      </c>
      <c r="N84" s="371">
        <f t="shared" si="146"/>
        <v>0</v>
      </c>
      <c r="O84" s="631">
        <f t="shared" si="146"/>
        <v>70.97</v>
      </c>
      <c r="P84" s="372">
        <f t="shared" si="146"/>
        <v>-84000</v>
      </c>
      <c r="Q84" s="371">
        <f t="shared" si="146"/>
        <v>0</v>
      </c>
      <c r="R84" s="371">
        <f t="shared" si="146"/>
        <v>0</v>
      </c>
      <c r="S84" s="371">
        <f t="shared" si="146"/>
        <v>0</v>
      </c>
      <c r="T84" s="371">
        <f t="shared" si="146"/>
        <v>0</v>
      </c>
      <c r="U84" s="371">
        <f t="shared" si="146"/>
        <v>0</v>
      </c>
      <c r="V84" s="371">
        <f t="shared" si="146"/>
        <v>-84000</v>
      </c>
      <c r="W84" s="371">
        <f t="shared" si="146"/>
        <v>84000</v>
      </c>
      <c r="X84" s="371">
        <f t="shared" si="146"/>
        <v>0</v>
      </c>
      <c r="Y84" s="371">
        <f t="shared" si="146"/>
        <v>0</v>
      </c>
      <c r="Z84" s="371">
        <f t="shared" si="146"/>
        <v>84000</v>
      </c>
      <c r="AA84" s="371">
        <f t="shared" si="146"/>
        <v>0</v>
      </c>
      <c r="AB84" s="371">
        <f t="shared" si="146"/>
        <v>0</v>
      </c>
      <c r="AC84" s="371">
        <f t="shared" si="146"/>
        <v>-840</v>
      </c>
      <c r="AD84" s="371">
        <f t="shared" si="146"/>
        <v>0</v>
      </c>
      <c r="AE84" s="625">
        <f t="shared" si="146"/>
        <v>-840</v>
      </c>
      <c r="AF84" s="630">
        <f t="shared" si="146"/>
        <v>0</v>
      </c>
      <c r="AG84" s="373">
        <f t="shared" si="146"/>
        <v>0</v>
      </c>
      <c r="AH84" s="373">
        <f t="shared" si="146"/>
        <v>0</v>
      </c>
      <c r="AI84" s="373">
        <f t="shared" si="146"/>
        <v>0</v>
      </c>
      <c r="AJ84" s="373">
        <f t="shared" si="146"/>
        <v>0</v>
      </c>
      <c r="AK84" s="373">
        <f t="shared" si="146"/>
        <v>0</v>
      </c>
      <c r="AL84" s="631">
        <f t="shared" si="146"/>
        <v>0</v>
      </c>
      <c r="AM84" s="370">
        <f t="shared" si="146"/>
        <v>53442300</v>
      </c>
      <c r="AN84" s="371">
        <f t="shared" si="146"/>
        <v>39437182</v>
      </c>
      <c r="AO84" s="371">
        <f t="shared" si="146"/>
        <v>210000</v>
      </c>
      <c r="AP84" s="371">
        <f t="shared" si="146"/>
        <v>13400747</v>
      </c>
      <c r="AQ84" s="371">
        <f t="shared" si="146"/>
        <v>394371</v>
      </c>
      <c r="AR84" s="371">
        <f t="shared" si="146"/>
        <v>0</v>
      </c>
      <c r="AS84" s="373">
        <f t="shared" si="146"/>
        <v>70.97</v>
      </c>
    </row>
    <row r="85" spans="4:45" x14ac:dyDescent="0.2">
      <c r="D85" s="8"/>
      <c r="E85" s="4"/>
      <c r="F85" s="8"/>
      <c r="G85" s="17"/>
      <c r="H85" s="16">
        <v>3113</v>
      </c>
      <c r="I85" s="119">
        <f t="shared" ref="I85:AS85" si="147">SUMIF($F$12:$F$426,"=3113",I$12:I$426)</f>
        <v>154289325</v>
      </c>
      <c r="J85" s="14">
        <f t="shared" si="147"/>
        <v>114126364</v>
      </c>
      <c r="K85" s="14">
        <f t="shared" si="147"/>
        <v>334070</v>
      </c>
      <c r="L85" s="14">
        <f t="shared" si="147"/>
        <v>38687627</v>
      </c>
      <c r="M85" s="14">
        <f t="shared" si="147"/>
        <v>1141264</v>
      </c>
      <c r="N85" s="14">
        <f t="shared" si="147"/>
        <v>0</v>
      </c>
      <c r="O85" s="633">
        <f t="shared" si="147"/>
        <v>187.27999999999997</v>
      </c>
      <c r="P85" s="120">
        <f t="shared" si="147"/>
        <v>-118000</v>
      </c>
      <c r="Q85" s="14">
        <f t="shared" si="147"/>
        <v>796409</v>
      </c>
      <c r="R85" s="14">
        <f t="shared" si="147"/>
        <v>0</v>
      </c>
      <c r="S85" s="14">
        <f t="shared" si="147"/>
        <v>0</v>
      </c>
      <c r="T85" s="14">
        <f t="shared" si="147"/>
        <v>0</v>
      </c>
      <c r="U85" s="14">
        <f t="shared" si="147"/>
        <v>0</v>
      </c>
      <c r="V85" s="14">
        <f t="shared" si="147"/>
        <v>678409</v>
      </c>
      <c r="W85" s="14">
        <f t="shared" si="147"/>
        <v>118000</v>
      </c>
      <c r="X85" s="14">
        <f t="shared" si="147"/>
        <v>0</v>
      </c>
      <c r="Y85" s="14">
        <f t="shared" si="147"/>
        <v>0</v>
      </c>
      <c r="Z85" s="14">
        <f t="shared" si="147"/>
        <v>118000</v>
      </c>
      <c r="AA85" s="14">
        <f t="shared" si="147"/>
        <v>796409</v>
      </c>
      <c r="AB85" s="14">
        <f t="shared" si="147"/>
        <v>269186</v>
      </c>
      <c r="AC85" s="14">
        <f t="shared" si="147"/>
        <v>6785</v>
      </c>
      <c r="AD85" s="14">
        <f t="shared" si="147"/>
        <v>0</v>
      </c>
      <c r="AE85" s="626">
        <f t="shared" si="147"/>
        <v>1072380</v>
      </c>
      <c r="AF85" s="632">
        <f t="shared" si="147"/>
        <v>-0.04</v>
      </c>
      <c r="AG85" s="11">
        <f t="shared" si="147"/>
        <v>1.58</v>
      </c>
      <c r="AH85" s="11">
        <f t="shared" si="147"/>
        <v>0</v>
      </c>
      <c r="AI85" s="11">
        <f t="shared" si="147"/>
        <v>0</v>
      </c>
      <c r="AJ85" s="11">
        <f t="shared" si="147"/>
        <v>0</v>
      </c>
      <c r="AK85" s="11">
        <f t="shared" si="147"/>
        <v>0</v>
      </c>
      <c r="AL85" s="633">
        <f t="shared" si="147"/>
        <v>1.54</v>
      </c>
      <c r="AM85" s="119">
        <f t="shared" si="147"/>
        <v>155361705</v>
      </c>
      <c r="AN85" s="14">
        <f t="shared" si="147"/>
        <v>114804773</v>
      </c>
      <c r="AO85" s="14">
        <f t="shared" si="147"/>
        <v>452070</v>
      </c>
      <c r="AP85" s="14">
        <f t="shared" si="147"/>
        <v>38956813</v>
      </c>
      <c r="AQ85" s="14">
        <f t="shared" si="147"/>
        <v>1148049</v>
      </c>
      <c r="AR85" s="14">
        <f t="shared" si="147"/>
        <v>0</v>
      </c>
      <c r="AS85" s="11">
        <f t="shared" si="147"/>
        <v>188.82</v>
      </c>
    </row>
    <row r="86" spans="4:45" x14ac:dyDescent="0.2">
      <c r="D86" s="8"/>
      <c r="E86" s="4"/>
      <c r="F86" s="8"/>
      <c r="G86" s="17"/>
      <c r="H86" s="16">
        <v>3114</v>
      </c>
      <c r="I86" s="119">
        <f t="shared" ref="I86:AS86" si="148">SUMIF($F$12:$F$426,"=3114",I$12:I$426)</f>
        <v>0</v>
      </c>
      <c r="J86" s="14">
        <f t="shared" si="148"/>
        <v>0</v>
      </c>
      <c r="K86" s="14">
        <f t="shared" si="148"/>
        <v>0</v>
      </c>
      <c r="L86" s="14">
        <f t="shared" si="148"/>
        <v>0</v>
      </c>
      <c r="M86" s="14">
        <f t="shared" si="148"/>
        <v>0</v>
      </c>
      <c r="N86" s="14">
        <f t="shared" si="148"/>
        <v>0</v>
      </c>
      <c r="O86" s="633">
        <f t="shared" si="148"/>
        <v>0</v>
      </c>
      <c r="P86" s="120">
        <f t="shared" si="148"/>
        <v>0</v>
      </c>
      <c r="Q86" s="14">
        <f t="shared" si="148"/>
        <v>0</v>
      </c>
      <c r="R86" s="14">
        <f t="shared" si="148"/>
        <v>0</v>
      </c>
      <c r="S86" s="14">
        <f t="shared" si="148"/>
        <v>0</v>
      </c>
      <c r="T86" s="14">
        <f t="shared" si="148"/>
        <v>0</v>
      </c>
      <c r="U86" s="14">
        <f t="shared" si="148"/>
        <v>0</v>
      </c>
      <c r="V86" s="14">
        <f t="shared" si="148"/>
        <v>0</v>
      </c>
      <c r="W86" s="14">
        <f t="shared" si="148"/>
        <v>0</v>
      </c>
      <c r="X86" s="14">
        <f t="shared" si="148"/>
        <v>0</v>
      </c>
      <c r="Y86" s="14">
        <f t="shared" si="148"/>
        <v>0</v>
      </c>
      <c r="Z86" s="14">
        <f t="shared" si="148"/>
        <v>0</v>
      </c>
      <c r="AA86" s="14">
        <f t="shared" si="148"/>
        <v>0</v>
      </c>
      <c r="AB86" s="14">
        <f t="shared" si="148"/>
        <v>0</v>
      </c>
      <c r="AC86" s="14">
        <f t="shared" si="148"/>
        <v>0</v>
      </c>
      <c r="AD86" s="14">
        <f t="shared" si="148"/>
        <v>0</v>
      </c>
      <c r="AE86" s="626">
        <f t="shared" si="148"/>
        <v>0</v>
      </c>
      <c r="AF86" s="632">
        <f t="shared" si="148"/>
        <v>0</v>
      </c>
      <c r="AG86" s="11">
        <f t="shared" si="148"/>
        <v>0</v>
      </c>
      <c r="AH86" s="11">
        <f t="shared" si="148"/>
        <v>0</v>
      </c>
      <c r="AI86" s="11">
        <f t="shared" si="148"/>
        <v>0</v>
      </c>
      <c r="AJ86" s="11">
        <f t="shared" si="148"/>
        <v>0</v>
      </c>
      <c r="AK86" s="11">
        <f t="shared" si="148"/>
        <v>0</v>
      </c>
      <c r="AL86" s="633">
        <f t="shared" si="148"/>
        <v>0</v>
      </c>
      <c r="AM86" s="119">
        <f t="shared" si="148"/>
        <v>0</v>
      </c>
      <c r="AN86" s="14">
        <f t="shared" si="148"/>
        <v>0</v>
      </c>
      <c r="AO86" s="14">
        <f t="shared" si="148"/>
        <v>0</v>
      </c>
      <c r="AP86" s="14">
        <f t="shared" si="148"/>
        <v>0</v>
      </c>
      <c r="AQ86" s="14">
        <f t="shared" si="148"/>
        <v>0</v>
      </c>
      <c r="AR86" s="14">
        <f t="shared" si="148"/>
        <v>0</v>
      </c>
      <c r="AS86" s="11">
        <f t="shared" si="148"/>
        <v>0</v>
      </c>
    </row>
    <row r="87" spans="4:45" x14ac:dyDescent="0.2">
      <c r="D87" s="8"/>
      <c r="E87" s="4"/>
      <c r="F87" s="8"/>
      <c r="G87" s="17"/>
      <c r="H87" s="16">
        <v>3117</v>
      </c>
      <c r="I87" s="119">
        <f t="shared" ref="I87:AS87" si="149">SUMIF($F$12:$F$426,"=3117",I$12:I$426)</f>
        <v>14729555</v>
      </c>
      <c r="J87" s="14">
        <f t="shared" si="149"/>
        <v>10861974</v>
      </c>
      <c r="K87" s="14">
        <f t="shared" si="149"/>
        <v>65479</v>
      </c>
      <c r="L87" s="14">
        <f t="shared" si="149"/>
        <v>3693480</v>
      </c>
      <c r="M87" s="14">
        <f t="shared" si="149"/>
        <v>108622</v>
      </c>
      <c r="N87" s="14">
        <f t="shared" si="149"/>
        <v>0</v>
      </c>
      <c r="O87" s="633">
        <f t="shared" si="149"/>
        <v>17.89</v>
      </c>
      <c r="P87" s="120">
        <f t="shared" si="149"/>
        <v>-43652</v>
      </c>
      <c r="Q87" s="14">
        <f t="shared" si="149"/>
        <v>0</v>
      </c>
      <c r="R87" s="14">
        <f t="shared" si="149"/>
        <v>0</v>
      </c>
      <c r="S87" s="14">
        <f t="shared" si="149"/>
        <v>0</v>
      </c>
      <c r="T87" s="14">
        <f t="shared" si="149"/>
        <v>0</v>
      </c>
      <c r="U87" s="14">
        <f t="shared" si="149"/>
        <v>0</v>
      </c>
      <c r="V87" s="14">
        <f t="shared" si="149"/>
        <v>-43652</v>
      </c>
      <c r="W87" s="14">
        <f t="shared" si="149"/>
        <v>43652</v>
      </c>
      <c r="X87" s="14">
        <f t="shared" si="149"/>
        <v>0</v>
      </c>
      <c r="Y87" s="14">
        <f t="shared" si="149"/>
        <v>0</v>
      </c>
      <c r="Z87" s="14">
        <f t="shared" si="149"/>
        <v>43652</v>
      </c>
      <c r="AA87" s="14">
        <f t="shared" si="149"/>
        <v>0</v>
      </c>
      <c r="AB87" s="14">
        <f t="shared" si="149"/>
        <v>0</v>
      </c>
      <c r="AC87" s="14">
        <f t="shared" si="149"/>
        <v>-437</v>
      </c>
      <c r="AD87" s="14">
        <f t="shared" si="149"/>
        <v>0</v>
      </c>
      <c r="AE87" s="626">
        <f t="shared" si="149"/>
        <v>-437</v>
      </c>
      <c r="AF87" s="632">
        <f t="shared" si="149"/>
        <v>-0.08</v>
      </c>
      <c r="AG87" s="11">
        <f t="shared" si="149"/>
        <v>0</v>
      </c>
      <c r="AH87" s="11">
        <f t="shared" si="149"/>
        <v>0</v>
      </c>
      <c r="AI87" s="11">
        <f t="shared" si="149"/>
        <v>0</v>
      </c>
      <c r="AJ87" s="11">
        <f t="shared" si="149"/>
        <v>0</v>
      </c>
      <c r="AK87" s="11">
        <f t="shared" si="149"/>
        <v>0</v>
      </c>
      <c r="AL87" s="633">
        <f t="shared" si="149"/>
        <v>-0.08</v>
      </c>
      <c r="AM87" s="119">
        <f t="shared" si="149"/>
        <v>14729118</v>
      </c>
      <c r="AN87" s="14">
        <f t="shared" si="149"/>
        <v>10818322</v>
      </c>
      <c r="AO87" s="14">
        <f t="shared" si="149"/>
        <v>109131</v>
      </c>
      <c r="AP87" s="14">
        <f t="shared" si="149"/>
        <v>3693480</v>
      </c>
      <c r="AQ87" s="14">
        <f t="shared" si="149"/>
        <v>108185</v>
      </c>
      <c r="AR87" s="14">
        <f t="shared" si="149"/>
        <v>0</v>
      </c>
      <c r="AS87" s="11">
        <f t="shared" si="149"/>
        <v>17.809999999999999</v>
      </c>
    </row>
    <row r="88" spans="4:45" x14ac:dyDescent="0.2">
      <c r="D88" s="8"/>
      <c r="E88" s="4"/>
      <c r="F88" s="8"/>
      <c r="G88" s="17"/>
      <c r="H88" s="16">
        <v>3122</v>
      </c>
      <c r="I88" s="119">
        <f t="shared" ref="I88:AS88" si="150">SUMIF($F$12:$F$426,"=3122",I$12:I$426)</f>
        <v>0</v>
      </c>
      <c r="J88" s="14">
        <f t="shared" si="150"/>
        <v>0</v>
      </c>
      <c r="K88" s="14">
        <f t="shared" si="150"/>
        <v>0</v>
      </c>
      <c r="L88" s="14">
        <f t="shared" si="150"/>
        <v>0</v>
      </c>
      <c r="M88" s="14">
        <f t="shared" si="150"/>
        <v>0</v>
      </c>
      <c r="N88" s="14">
        <f t="shared" si="150"/>
        <v>0</v>
      </c>
      <c r="O88" s="633">
        <f t="shared" si="150"/>
        <v>0</v>
      </c>
      <c r="P88" s="120">
        <f t="shared" si="150"/>
        <v>0</v>
      </c>
      <c r="Q88" s="14">
        <f t="shared" si="150"/>
        <v>0</v>
      </c>
      <c r="R88" s="14">
        <f t="shared" si="150"/>
        <v>0</v>
      </c>
      <c r="S88" s="14">
        <f t="shared" si="150"/>
        <v>0</v>
      </c>
      <c r="T88" s="14">
        <f t="shared" si="150"/>
        <v>0</v>
      </c>
      <c r="U88" s="14">
        <f t="shared" si="150"/>
        <v>0</v>
      </c>
      <c r="V88" s="14">
        <f t="shared" si="150"/>
        <v>0</v>
      </c>
      <c r="W88" s="14">
        <f t="shared" si="150"/>
        <v>0</v>
      </c>
      <c r="X88" s="14">
        <f t="shared" si="150"/>
        <v>0</v>
      </c>
      <c r="Y88" s="14">
        <f t="shared" si="150"/>
        <v>0</v>
      </c>
      <c r="Z88" s="14">
        <f t="shared" si="150"/>
        <v>0</v>
      </c>
      <c r="AA88" s="14">
        <f t="shared" si="150"/>
        <v>0</v>
      </c>
      <c r="AB88" s="14">
        <f t="shared" si="150"/>
        <v>0</v>
      </c>
      <c r="AC88" s="14">
        <f t="shared" si="150"/>
        <v>0</v>
      </c>
      <c r="AD88" s="14">
        <f t="shared" si="150"/>
        <v>0</v>
      </c>
      <c r="AE88" s="626">
        <f t="shared" si="150"/>
        <v>0</v>
      </c>
      <c r="AF88" s="632">
        <f t="shared" si="150"/>
        <v>0</v>
      </c>
      <c r="AG88" s="11">
        <f t="shared" si="150"/>
        <v>0</v>
      </c>
      <c r="AH88" s="11">
        <f t="shared" si="150"/>
        <v>0</v>
      </c>
      <c r="AI88" s="11">
        <f t="shared" si="150"/>
        <v>0</v>
      </c>
      <c r="AJ88" s="11">
        <f t="shared" si="150"/>
        <v>0</v>
      </c>
      <c r="AK88" s="11">
        <f t="shared" si="150"/>
        <v>0</v>
      </c>
      <c r="AL88" s="633">
        <f t="shared" si="150"/>
        <v>0</v>
      </c>
      <c r="AM88" s="119">
        <f t="shared" si="150"/>
        <v>0</v>
      </c>
      <c r="AN88" s="14">
        <f t="shared" si="150"/>
        <v>0</v>
      </c>
      <c r="AO88" s="14">
        <f t="shared" si="150"/>
        <v>0</v>
      </c>
      <c r="AP88" s="14">
        <f t="shared" si="150"/>
        <v>0</v>
      </c>
      <c r="AQ88" s="14">
        <f t="shared" si="150"/>
        <v>0</v>
      </c>
      <c r="AR88" s="14">
        <f t="shared" si="150"/>
        <v>0</v>
      </c>
      <c r="AS88" s="11">
        <f t="shared" si="150"/>
        <v>0</v>
      </c>
    </row>
    <row r="89" spans="4:45" x14ac:dyDescent="0.2">
      <c r="D89" s="8"/>
      <c r="E89" s="4"/>
      <c r="F89" s="8"/>
      <c r="G89" s="17"/>
      <c r="H89" s="16">
        <v>3124</v>
      </c>
      <c r="I89" s="119">
        <f t="shared" ref="I89:AS89" si="151">SUMIF($F$12:$F$426,"=3124",I$12:I$426)</f>
        <v>0</v>
      </c>
      <c r="J89" s="14">
        <f t="shared" si="151"/>
        <v>0</v>
      </c>
      <c r="K89" s="14">
        <f t="shared" si="151"/>
        <v>0</v>
      </c>
      <c r="L89" s="14">
        <f t="shared" si="151"/>
        <v>0</v>
      </c>
      <c r="M89" s="14">
        <f t="shared" si="151"/>
        <v>0</v>
      </c>
      <c r="N89" s="14">
        <f t="shared" si="151"/>
        <v>0</v>
      </c>
      <c r="O89" s="633">
        <f t="shared" si="151"/>
        <v>0</v>
      </c>
      <c r="P89" s="120">
        <f t="shared" si="151"/>
        <v>0</v>
      </c>
      <c r="Q89" s="14">
        <f t="shared" si="151"/>
        <v>0</v>
      </c>
      <c r="R89" s="14">
        <f t="shared" si="151"/>
        <v>0</v>
      </c>
      <c r="S89" s="14">
        <f t="shared" si="151"/>
        <v>0</v>
      </c>
      <c r="T89" s="14">
        <f t="shared" si="151"/>
        <v>0</v>
      </c>
      <c r="U89" s="14">
        <f t="shared" si="151"/>
        <v>0</v>
      </c>
      <c r="V89" s="14">
        <f t="shared" si="151"/>
        <v>0</v>
      </c>
      <c r="W89" s="14">
        <f t="shared" si="151"/>
        <v>0</v>
      </c>
      <c r="X89" s="14">
        <f t="shared" si="151"/>
        <v>0</v>
      </c>
      <c r="Y89" s="14">
        <f t="shared" si="151"/>
        <v>0</v>
      </c>
      <c r="Z89" s="14">
        <f t="shared" si="151"/>
        <v>0</v>
      </c>
      <c r="AA89" s="14">
        <f t="shared" si="151"/>
        <v>0</v>
      </c>
      <c r="AB89" s="14">
        <f t="shared" si="151"/>
        <v>0</v>
      </c>
      <c r="AC89" s="14">
        <f t="shared" si="151"/>
        <v>0</v>
      </c>
      <c r="AD89" s="14">
        <f t="shared" si="151"/>
        <v>0</v>
      </c>
      <c r="AE89" s="626">
        <f t="shared" si="151"/>
        <v>0</v>
      </c>
      <c r="AF89" s="632">
        <f t="shared" si="151"/>
        <v>0</v>
      </c>
      <c r="AG89" s="11">
        <f t="shared" si="151"/>
        <v>0</v>
      </c>
      <c r="AH89" s="11">
        <f t="shared" si="151"/>
        <v>0</v>
      </c>
      <c r="AI89" s="11">
        <f t="shared" si="151"/>
        <v>0</v>
      </c>
      <c r="AJ89" s="11">
        <f t="shared" si="151"/>
        <v>0</v>
      </c>
      <c r="AK89" s="11">
        <f t="shared" si="151"/>
        <v>0</v>
      </c>
      <c r="AL89" s="633">
        <f t="shared" si="151"/>
        <v>0</v>
      </c>
      <c r="AM89" s="119">
        <f t="shared" si="151"/>
        <v>0</v>
      </c>
      <c r="AN89" s="14">
        <f t="shared" si="151"/>
        <v>0</v>
      </c>
      <c r="AO89" s="14">
        <f t="shared" si="151"/>
        <v>0</v>
      </c>
      <c r="AP89" s="14">
        <f t="shared" si="151"/>
        <v>0</v>
      </c>
      <c r="AQ89" s="14">
        <f t="shared" si="151"/>
        <v>0</v>
      </c>
      <c r="AR89" s="14">
        <f t="shared" si="151"/>
        <v>0</v>
      </c>
      <c r="AS89" s="11">
        <f t="shared" si="151"/>
        <v>0</v>
      </c>
    </row>
    <row r="90" spans="4:45" x14ac:dyDescent="0.2">
      <c r="D90" s="8"/>
      <c r="E90" s="4"/>
      <c r="F90" s="8"/>
      <c r="G90" s="17"/>
      <c r="H90" s="16">
        <v>3141</v>
      </c>
      <c r="I90" s="119">
        <f t="shared" ref="I90:AS90" si="152">SUMIF($F$12:$F$426,"=3141",I$12:I$426)</f>
        <v>0</v>
      </c>
      <c r="J90" s="14">
        <f t="shared" si="152"/>
        <v>0</v>
      </c>
      <c r="K90" s="14">
        <f t="shared" si="152"/>
        <v>0</v>
      </c>
      <c r="L90" s="14">
        <f t="shared" si="152"/>
        <v>0</v>
      </c>
      <c r="M90" s="14">
        <f t="shared" si="152"/>
        <v>0</v>
      </c>
      <c r="N90" s="14">
        <f t="shared" si="152"/>
        <v>0</v>
      </c>
      <c r="O90" s="633">
        <f t="shared" si="152"/>
        <v>0</v>
      </c>
      <c r="P90" s="120">
        <f t="shared" si="152"/>
        <v>0</v>
      </c>
      <c r="Q90" s="14">
        <f t="shared" si="152"/>
        <v>0</v>
      </c>
      <c r="R90" s="14">
        <f t="shared" si="152"/>
        <v>0</v>
      </c>
      <c r="S90" s="14">
        <f t="shared" si="152"/>
        <v>0</v>
      </c>
      <c r="T90" s="14">
        <f t="shared" si="152"/>
        <v>0</v>
      </c>
      <c r="U90" s="14">
        <f t="shared" si="152"/>
        <v>0</v>
      </c>
      <c r="V90" s="14">
        <f t="shared" si="152"/>
        <v>0</v>
      </c>
      <c r="W90" s="14">
        <f t="shared" si="152"/>
        <v>0</v>
      </c>
      <c r="X90" s="14">
        <f t="shared" si="152"/>
        <v>0</v>
      </c>
      <c r="Y90" s="14">
        <f t="shared" si="152"/>
        <v>0</v>
      </c>
      <c r="Z90" s="14">
        <f t="shared" si="152"/>
        <v>0</v>
      </c>
      <c r="AA90" s="14">
        <f t="shared" si="152"/>
        <v>0</v>
      </c>
      <c r="AB90" s="14">
        <f t="shared" si="152"/>
        <v>0</v>
      </c>
      <c r="AC90" s="14">
        <f t="shared" si="152"/>
        <v>0</v>
      </c>
      <c r="AD90" s="14">
        <f t="shared" si="152"/>
        <v>0</v>
      </c>
      <c r="AE90" s="626">
        <f t="shared" si="152"/>
        <v>0</v>
      </c>
      <c r="AF90" s="632">
        <f t="shared" si="152"/>
        <v>0</v>
      </c>
      <c r="AG90" s="11">
        <f t="shared" si="152"/>
        <v>0</v>
      </c>
      <c r="AH90" s="11">
        <f t="shared" si="152"/>
        <v>0</v>
      </c>
      <c r="AI90" s="11">
        <f t="shared" si="152"/>
        <v>0</v>
      </c>
      <c r="AJ90" s="11">
        <f t="shared" si="152"/>
        <v>0</v>
      </c>
      <c r="AK90" s="11">
        <f t="shared" si="152"/>
        <v>0</v>
      </c>
      <c r="AL90" s="633">
        <f t="shared" si="152"/>
        <v>0</v>
      </c>
      <c r="AM90" s="119">
        <f t="shared" si="152"/>
        <v>0</v>
      </c>
      <c r="AN90" s="14">
        <f t="shared" si="152"/>
        <v>0</v>
      </c>
      <c r="AO90" s="14">
        <f t="shared" si="152"/>
        <v>0</v>
      </c>
      <c r="AP90" s="14">
        <f t="shared" si="152"/>
        <v>0</v>
      </c>
      <c r="AQ90" s="14">
        <f t="shared" si="152"/>
        <v>0</v>
      </c>
      <c r="AR90" s="14">
        <f t="shared" si="152"/>
        <v>0</v>
      </c>
      <c r="AS90" s="11">
        <f t="shared" si="152"/>
        <v>0</v>
      </c>
    </row>
    <row r="91" spans="4:45" x14ac:dyDescent="0.2">
      <c r="D91" s="8"/>
      <c r="E91" s="4"/>
      <c r="F91" s="8"/>
      <c r="G91" s="17"/>
      <c r="H91" s="16">
        <v>3143</v>
      </c>
      <c r="I91" s="119">
        <f t="shared" ref="I91:AS91" si="153">SUMIF($F$12:$F$426,"=3143",I$12:I$426)</f>
        <v>15849998</v>
      </c>
      <c r="J91" s="14">
        <f t="shared" si="153"/>
        <v>11640152</v>
      </c>
      <c r="K91" s="14">
        <f t="shared" si="153"/>
        <v>118890</v>
      </c>
      <c r="L91" s="14">
        <f t="shared" si="153"/>
        <v>3974556</v>
      </c>
      <c r="M91" s="14">
        <f t="shared" si="153"/>
        <v>116400</v>
      </c>
      <c r="N91" s="14">
        <f t="shared" si="153"/>
        <v>0</v>
      </c>
      <c r="O91" s="633">
        <f t="shared" si="153"/>
        <v>21.819999999999997</v>
      </c>
      <c r="P91" s="120">
        <f t="shared" si="153"/>
        <v>-34000</v>
      </c>
      <c r="Q91" s="14">
        <f t="shared" si="153"/>
        <v>0</v>
      </c>
      <c r="R91" s="14">
        <f t="shared" si="153"/>
        <v>0</v>
      </c>
      <c r="S91" s="14">
        <f t="shared" si="153"/>
        <v>0</v>
      </c>
      <c r="T91" s="14">
        <f t="shared" si="153"/>
        <v>0</v>
      </c>
      <c r="U91" s="14">
        <f t="shared" si="153"/>
        <v>0</v>
      </c>
      <c r="V91" s="14">
        <f t="shared" si="153"/>
        <v>-34000</v>
      </c>
      <c r="W91" s="14">
        <f t="shared" si="153"/>
        <v>34000</v>
      </c>
      <c r="X91" s="14">
        <f t="shared" si="153"/>
        <v>0</v>
      </c>
      <c r="Y91" s="14">
        <f t="shared" si="153"/>
        <v>0</v>
      </c>
      <c r="Z91" s="14">
        <f t="shared" si="153"/>
        <v>34000</v>
      </c>
      <c r="AA91" s="14">
        <f t="shared" si="153"/>
        <v>0</v>
      </c>
      <c r="AB91" s="14">
        <f t="shared" si="153"/>
        <v>0</v>
      </c>
      <c r="AC91" s="14">
        <f t="shared" si="153"/>
        <v>-340</v>
      </c>
      <c r="AD91" s="14">
        <f t="shared" si="153"/>
        <v>0</v>
      </c>
      <c r="AE91" s="626">
        <f t="shared" si="153"/>
        <v>-340</v>
      </c>
      <c r="AF91" s="632">
        <f t="shared" si="153"/>
        <v>-0.05</v>
      </c>
      <c r="AG91" s="11">
        <f t="shared" si="153"/>
        <v>0</v>
      </c>
      <c r="AH91" s="11">
        <f t="shared" si="153"/>
        <v>0</v>
      </c>
      <c r="AI91" s="11">
        <f t="shared" si="153"/>
        <v>0</v>
      </c>
      <c r="AJ91" s="11">
        <f t="shared" si="153"/>
        <v>0</v>
      </c>
      <c r="AK91" s="11">
        <f t="shared" si="153"/>
        <v>0</v>
      </c>
      <c r="AL91" s="633">
        <f t="shared" si="153"/>
        <v>-0.05</v>
      </c>
      <c r="AM91" s="119">
        <f t="shared" si="153"/>
        <v>15849658</v>
      </c>
      <c r="AN91" s="14">
        <f t="shared" si="153"/>
        <v>11606152</v>
      </c>
      <c r="AO91" s="14">
        <f t="shared" si="153"/>
        <v>152890</v>
      </c>
      <c r="AP91" s="14">
        <f t="shared" si="153"/>
        <v>3974556</v>
      </c>
      <c r="AQ91" s="14">
        <f t="shared" si="153"/>
        <v>116060</v>
      </c>
      <c r="AR91" s="14">
        <f t="shared" si="153"/>
        <v>0</v>
      </c>
      <c r="AS91" s="11">
        <f t="shared" si="153"/>
        <v>21.77</v>
      </c>
    </row>
    <row r="92" spans="4:45" x14ac:dyDescent="0.2">
      <c r="D92" s="8"/>
      <c r="E92" s="4"/>
      <c r="F92" s="8"/>
      <c r="G92" s="17"/>
      <c r="H92" s="16">
        <v>3231</v>
      </c>
      <c r="I92" s="119">
        <f t="shared" ref="I92:AS92" si="154">SUMIF($F$12:$F$426,"=3231",I$12:I$426)</f>
        <v>17939023</v>
      </c>
      <c r="J92" s="14">
        <f t="shared" si="154"/>
        <v>13295969</v>
      </c>
      <c r="K92" s="14">
        <f t="shared" si="154"/>
        <v>12000</v>
      </c>
      <c r="L92" s="14">
        <f t="shared" si="154"/>
        <v>4498094</v>
      </c>
      <c r="M92" s="14">
        <f t="shared" si="154"/>
        <v>132960</v>
      </c>
      <c r="N92" s="14">
        <f t="shared" si="154"/>
        <v>0</v>
      </c>
      <c r="O92" s="633">
        <f t="shared" si="154"/>
        <v>19.95</v>
      </c>
      <c r="P92" s="120">
        <f t="shared" si="154"/>
        <v>-8000</v>
      </c>
      <c r="Q92" s="14">
        <f t="shared" si="154"/>
        <v>0</v>
      </c>
      <c r="R92" s="14">
        <f t="shared" si="154"/>
        <v>0</v>
      </c>
      <c r="S92" s="14">
        <f t="shared" si="154"/>
        <v>0</v>
      </c>
      <c r="T92" s="14">
        <f t="shared" si="154"/>
        <v>0</v>
      </c>
      <c r="U92" s="14">
        <f t="shared" si="154"/>
        <v>0</v>
      </c>
      <c r="V92" s="14">
        <f t="shared" si="154"/>
        <v>-8000</v>
      </c>
      <c r="W92" s="14">
        <f t="shared" si="154"/>
        <v>8000</v>
      </c>
      <c r="X92" s="14">
        <f t="shared" si="154"/>
        <v>0</v>
      </c>
      <c r="Y92" s="14">
        <f t="shared" si="154"/>
        <v>0</v>
      </c>
      <c r="Z92" s="14">
        <f t="shared" si="154"/>
        <v>8000</v>
      </c>
      <c r="AA92" s="14">
        <f t="shared" si="154"/>
        <v>0</v>
      </c>
      <c r="AB92" s="14">
        <f t="shared" si="154"/>
        <v>0</v>
      </c>
      <c r="AC92" s="14">
        <f t="shared" si="154"/>
        <v>-80</v>
      </c>
      <c r="AD92" s="14">
        <f t="shared" si="154"/>
        <v>0</v>
      </c>
      <c r="AE92" s="626">
        <f t="shared" si="154"/>
        <v>-80</v>
      </c>
      <c r="AF92" s="632">
        <f t="shared" si="154"/>
        <v>0</v>
      </c>
      <c r="AG92" s="11">
        <f t="shared" si="154"/>
        <v>0</v>
      </c>
      <c r="AH92" s="11">
        <f t="shared" si="154"/>
        <v>0</v>
      </c>
      <c r="AI92" s="11">
        <f t="shared" si="154"/>
        <v>0</v>
      </c>
      <c r="AJ92" s="11">
        <f t="shared" si="154"/>
        <v>0</v>
      </c>
      <c r="AK92" s="11">
        <f t="shared" si="154"/>
        <v>0</v>
      </c>
      <c r="AL92" s="633">
        <f t="shared" si="154"/>
        <v>0</v>
      </c>
      <c r="AM92" s="119">
        <f t="shared" si="154"/>
        <v>17938943</v>
      </c>
      <c r="AN92" s="14">
        <f t="shared" si="154"/>
        <v>13287969</v>
      </c>
      <c r="AO92" s="14">
        <f t="shared" si="154"/>
        <v>20000</v>
      </c>
      <c r="AP92" s="14">
        <f t="shared" si="154"/>
        <v>4498094</v>
      </c>
      <c r="AQ92" s="14">
        <f t="shared" si="154"/>
        <v>132880</v>
      </c>
      <c r="AR92" s="14">
        <f t="shared" si="154"/>
        <v>0</v>
      </c>
      <c r="AS92" s="11">
        <f t="shared" si="154"/>
        <v>19.95</v>
      </c>
    </row>
    <row r="93" spans="4:45" ht="13.5" thickBot="1" x14ac:dyDescent="0.25">
      <c r="D93" s="8"/>
      <c r="E93" s="4"/>
      <c r="F93" s="8"/>
      <c r="G93" s="17"/>
      <c r="H93" s="95">
        <v>3233</v>
      </c>
      <c r="I93" s="122">
        <f t="shared" ref="I93:AS93" si="155">SUMIF($F$12:$F$426,"=3233",I$12:I$426)</f>
        <v>1965226</v>
      </c>
      <c r="J93" s="123">
        <f t="shared" si="155"/>
        <v>1398328</v>
      </c>
      <c r="K93" s="123">
        <f t="shared" si="155"/>
        <v>60000</v>
      </c>
      <c r="L93" s="123">
        <f t="shared" si="155"/>
        <v>492915</v>
      </c>
      <c r="M93" s="123">
        <f t="shared" si="155"/>
        <v>13983</v>
      </c>
      <c r="N93" s="123">
        <f t="shared" si="155"/>
        <v>0</v>
      </c>
      <c r="O93" s="635">
        <f t="shared" si="155"/>
        <v>2.35</v>
      </c>
      <c r="P93" s="125">
        <f t="shared" si="155"/>
        <v>-40000</v>
      </c>
      <c r="Q93" s="123">
        <f t="shared" si="155"/>
        <v>0</v>
      </c>
      <c r="R93" s="123">
        <f t="shared" si="155"/>
        <v>0</v>
      </c>
      <c r="S93" s="123">
        <f t="shared" si="155"/>
        <v>0</v>
      </c>
      <c r="T93" s="123">
        <f t="shared" si="155"/>
        <v>0</v>
      </c>
      <c r="U93" s="123">
        <f t="shared" si="155"/>
        <v>0</v>
      </c>
      <c r="V93" s="123">
        <f t="shared" si="155"/>
        <v>-40000</v>
      </c>
      <c r="W93" s="123">
        <f t="shared" si="155"/>
        <v>40000</v>
      </c>
      <c r="X93" s="123">
        <f t="shared" si="155"/>
        <v>0</v>
      </c>
      <c r="Y93" s="123">
        <f t="shared" si="155"/>
        <v>0</v>
      </c>
      <c r="Z93" s="123">
        <f t="shared" si="155"/>
        <v>40000</v>
      </c>
      <c r="AA93" s="123">
        <f t="shared" si="155"/>
        <v>0</v>
      </c>
      <c r="AB93" s="123">
        <f t="shared" si="155"/>
        <v>0</v>
      </c>
      <c r="AC93" s="123">
        <f t="shared" si="155"/>
        <v>-400</v>
      </c>
      <c r="AD93" s="123">
        <f t="shared" si="155"/>
        <v>0</v>
      </c>
      <c r="AE93" s="627">
        <f t="shared" si="155"/>
        <v>-400</v>
      </c>
      <c r="AF93" s="634">
        <f t="shared" si="155"/>
        <v>-7.0000000000000007E-2</v>
      </c>
      <c r="AG93" s="124">
        <f t="shared" si="155"/>
        <v>0</v>
      </c>
      <c r="AH93" s="124">
        <f t="shared" si="155"/>
        <v>0</v>
      </c>
      <c r="AI93" s="124">
        <f t="shared" si="155"/>
        <v>0</v>
      </c>
      <c r="AJ93" s="124">
        <f t="shared" si="155"/>
        <v>0</v>
      </c>
      <c r="AK93" s="124">
        <f t="shared" si="155"/>
        <v>0</v>
      </c>
      <c r="AL93" s="635">
        <f t="shared" si="155"/>
        <v>-7.0000000000000007E-2</v>
      </c>
      <c r="AM93" s="122">
        <f t="shared" si="155"/>
        <v>1964826</v>
      </c>
      <c r="AN93" s="123">
        <f t="shared" si="155"/>
        <v>1358328</v>
      </c>
      <c r="AO93" s="123">
        <f t="shared" si="155"/>
        <v>100000</v>
      </c>
      <c r="AP93" s="123">
        <f t="shared" si="155"/>
        <v>492915</v>
      </c>
      <c r="AQ93" s="123">
        <f t="shared" si="155"/>
        <v>13583</v>
      </c>
      <c r="AR93" s="123">
        <f t="shared" si="155"/>
        <v>0</v>
      </c>
      <c r="AS93" s="124">
        <f t="shared" si="155"/>
        <v>2.2800000000000002</v>
      </c>
    </row>
    <row r="94" spans="4:45" x14ac:dyDescent="0.2">
      <c r="D94" s="4"/>
      <c r="E94" s="4"/>
      <c r="F94" s="4"/>
      <c r="G94" s="17"/>
      <c r="H94" s="4"/>
    </row>
  </sheetData>
  <mergeCells count="46">
    <mergeCell ref="AI8:AI10"/>
    <mergeCell ref="AA7:AA10"/>
    <mergeCell ref="AD7:AD10"/>
    <mergeCell ref="AF8:AF10"/>
    <mergeCell ref="AG8:AG10"/>
    <mergeCell ref="AH8:AH10"/>
    <mergeCell ref="A3:E3"/>
    <mergeCell ref="I8:I10"/>
    <mergeCell ref="I6:O7"/>
    <mergeCell ref="AS8:AS10"/>
    <mergeCell ref="Z9:Z10"/>
    <mergeCell ref="V9:V10"/>
    <mergeCell ref="X9:X10"/>
    <mergeCell ref="AO9:AO10"/>
    <mergeCell ref="AR9:AR10"/>
    <mergeCell ref="P6:AL6"/>
    <mergeCell ref="AM6:AS7"/>
    <mergeCell ref="P7:V8"/>
    <mergeCell ref="M9:M10"/>
    <mergeCell ref="N9:N10"/>
    <mergeCell ref="S9:S10"/>
    <mergeCell ref="U9:U10"/>
    <mergeCell ref="O8:O10"/>
    <mergeCell ref="J9:J10"/>
    <mergeCell ref="L9:L10"/>
    <mergeCell ref="Q9:Q10"/>
    <mergeCell ref="R9:R10"/>
    <mergeCell ref="P9:P10"/>
    <mergeCell ref="J8:M8"/>
    <mergeCell ref="K9:K10"/>
    <mergeCell ref="AP9:AP10"/>
    <mergeCell ref="AF7:AL7"/>
    <mergeCell ref="W7:Z8"/>
    <mergeCell ref="T9:T10"/>
    <mergeCell ref="AQ9:AQ10"/>
    <mergeCell ref="AM8:AM10"/>
    <mergeCell ref="AN9:AN10"/>
    <mergeCell ref="AE7:AE10"/>
    <mergeCell ref="AB7:AB10"/>
    <mergeCell ref="AC7:AC10"/>
    <mergeCell ref="AJ8:AJ10"/>
    <mergeCell ref="AK8:AK10"/>
    <mergeCell ref="AL8:AL10"/>
    <mergeCell ref="AN8:AQ8"/>
    <mergeCell ref="W9:W10"/>
    <mergeCell ref="Y9:Y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AS72"/>
  <sheetViews>
    <sheetView zoomScaleNormal="100" workbookViewId="0">
      <pane xSplit="8" ySplit="11" topLeftCell="AB12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30.85546875" customWidth="1"/>
    <col min="6" max="6" width="4.42578125" customWidth="1"/>
    <col min="7" max="7" width="10.42578125" style="38" customWidth="1"/>
    <col min="8" max="8" width="8" customWidth="1"/>
    <col min="9" max="9" width="12.28515625" style="7" customWidth="1"/>
    <col min="10" max="11" width="11.42578125" style="7" customWidth="1"/>
    <col min="12" max="12" width="12.28515625" style="7" customWidth="1"/>
    <col min="13" max="14" width="11.5703125" style="7" customWidth="1"/>
    <col min="15" max="15" width="12.42578125" style="6" customWidth="1"/>
    <col min="16" max="18" width="10.28515625" style="7" customWidth="1"/>
    <col min="19" max="19" width="10.5703125" style="7" customWidth="1"/>
    <col min="20" max="20" width="12.140625" style="7" customWidth="1"/>
    <col min="21" max="28" width="10.28515625" style="7" customWidth="1"/>
    <col min="29" max="29" width="10.28515625" style="6" customWidth="1"/>
    <col min="30" max="30" width="9.140625" style="7" customWidth="1"/>
    <col min="31" max="31" width="9.7109375" style="7" customWidth="1"/>
    <col min="32" max="32" width="10.140625" style="6" customWidth="1"/>
    <col min="33" max="33" width="9.7109375" style="6" customWidth="1"/>
    <col min="34" max="35" width="9.140625" style="6" customWidth="1"/>
    <col min="36" max="36" width="10.5703125" style="6" customWidth="1"/>
    <col min="37" max="37" width="10.140625" style="6" customWidth="1"/>
    <col min="38" max="38" width="9.28515625" style="6" customWidth="1"/>
    <col min="39" max="39" width="12.85546875" style="7" customWidth="1"/>
    <col min="40" max="43" width="10.85546875" style="7" customWidth="1"/>
    <col min="44" max="44" width="10.42578125" style="7" customWidth="1"/>
    <col min="45" max="45" width="11.42578125" style="6" customWidth="1"/>
    <col min="149" max="149" width="7" customWidth="1"/>
    <col min="150" max="150" width="33.140625" customWidth="1"/>
    <col min="151" max="151" width="6.42578125" customWidth="1"/>
    <col min="152" max="152" width="29" customWidth="1"/>
    <col min="153" max="153" width="11.42578125" customWidth="1"/>
    <col min="154" max="154" width="10.7109375" customWidth="1"/>
    <col min="155" max="155" width="10.85546875" customWidth="1"/>
    <col min="156" max="156" width="11.28515625" customWidth="1"/>
    <col min="158" max="158" width="9.7109375" customWidth="1"/>
    <col min="161" max="161" width="10.42578125" customWidth="1"/>
    <col min="405" max="405" width="7" customWidth="1"/>
    <col min="406" max="406" width="33.140625" customWidth="1"/>
    <col min="407" max="407" width="6.42578125" customWidth="1"/>
    <col min="408" max="408" width="29" customWidth="1"/>
    <col min="409" max="409" width="11.42578125" customWidth="1"/>
    <col min="410" max="410" width="10.7109375" customWidth="1"/>
    <col min="411" max="411" width="10.85546875" customWidth="1"/>
    <col min="412" max="412" width="11.28515625" customWidth="1"/>
    <col min="414" max="414" width="9.7109375" customWidth="1"/>
    <col min="417" max="417" width="10.42578125" customWidth="1"/>
    <col min="661" max="661" width="7" customWidth="1"/>
    <col min="662" max="662" width="33.140625" customWidth="1"/>
    <col min="663" max="663" width="6.42578125" customWidth="1"/>
    <col min="664" max="664" width="29" customWidth="1"/>
    <col min="665" max="665" width="11.42578125" customWidth="1"/>
    <col min="666" max="666" width="10.7109375" customWidth="1"/>
    <col min="667" max="667" width="10.85546875" customWidth="1"/>
    <col min="668" max="668" width="11.28515625" customWidth="1"/>
    <col min="670" max="670" width="9.7109375" customWidth="1"/>
    <col min="673" max="673" width="10.42578125" customWidth="1"/>
    <col min="917" max="917" width="7" customWidth="1"/>
    <col min="918" max="918" width="33.140625" customWidth="1"/>
    <col min="919" max="919" width="6.42578125" customWidth="1"/>
    <col min="920" max="920" width="29" customWidth="1"/>
    <col min="921" max="921" width="11.42578125" customWidth="1"/>
    <col min="922" max="922" width="10.7109375" customWidth="1"/>
    <col min="923" max="923" width="10.85546875" customWidth="1"/>
    <col min="924" max="924" width="11.28515625" customWidth="1"/>
    <col min="926" max="926" width="9.7109375" customWidth="1"/>
    <col min="929" max="929" width="10.42578125" customWidth="1"/>
    <col min="1173" max="1173" width="7" customWidth="1"/>
    <col min="1174" max="1174" width="33.140625" customWidth="1"/>
    <col min="1175" max="1175" width="6.42578125" customWidth="1"/>
    <col min="1176" max="1176" width="29" customWidth="1"/>
    <col min="1177" max="1177" width="11.42578125" customWidth="1"/>
    <col min="1178" max="1178" width="10.7109375" customWidth="1"/>
    <col min="1179" max="1179" width="10.85546875" customWidth="1"/>
    <col min="1180" max="1180" width="11.28515625" customWidth="1"/>
    <col min="1182" max="1182" width="9.7109375" customWidth="1"/>
    <col min="1185" max="1185" width="10.42578125" customWidth="1"/>
    <col min="1429" max="1429" width="7" customWidth="1"/>
    <col min="1430" max="1430" width="33.140625" customWidth="1"/>
    <col min="1431" max="1431" width="6.42578125" customWidth="1"/>
    <col min="1432" max="1432" width="29" customWidth="1"/>
    <col min="1433" max="1433" width="11.42578125" customWidth="1"/>
    <col min="1434" max="1434" width="10.7109375" customWidth="1"/>
    <col min="1435" max="1435" width="10.85546875" customWidth="1"/>
    <col min="1436" max="1436" width="11.28515625" customWidth="1"/>
    <col min="1438" max="1438" width="9.7109375" customWidth="1"/>
    <col min="1441" max="1441" width="10.42578125" customWidth="1"/>
    <col min="1685" max="1685" width="7" customWidth="1"/>
    <col min="1686" max="1686" width="33.140625" customWidth="1"/>
    <col min="1687" max="1687" width="6.42578125" customWidth="1"/>
    <col min="1688" max="1688" width="29" customWidth="1"/>
    <col min="1689" max="1689" width="11.42578125" customWidth="1"/>
    <col min="1690" max="1690" width="10.7109375" customWidth="1"/>
    <col min="1691" max="1691" width="10.85546875" customWidth="1"/>
    <col min="1692" max="1692" width="11.28515625" customWidth="1"/>
    <col min="1694" max="1694" width="9.7109375" customWidth="1"/>
    <col min="1697" max="1697" width="10.42578125" customWidth="1"/>
    <col min="1941" max="1941" width="7" customWidth="1"/>
    <col min="1942" max="1942" width="33.140625" customWidth="1"/>
    <col min="1943" max="1943" width="6.42578125" customWidth="1"/>
    <col min="1944" max="1944" width="29" customWidth="1"/>
    <col min="1945" max="1945" width="11.42578125" customWidth="1"/>
    <col min="1946" max="1946" width="10.7109375" customWidth="1"/>
    <col min="1947" max="1947" width="10.85546875" customWidth="1"/>
    <col min="1948" max="1948" width="11.28515625" customWidth="1"/>
    <col min="1950" max="1950" width="9.7109375" customWidth="1"/>
    <col min="1953" max="1953" width="10.42578125" customWidth="1"/>
    <col min="2197" max="2197" width="7" customWidth="1"/>
    <col min="2198" max="2198" width="33.140625" customWidth="1"/>
    <col min="2199" max="2199" width="6.42578125" customWidth="1"/>
    <col min="2200" max="2200" width="29" customWidth="1"/>
    <col min="2201" max="2201" width="11.42578125" customWidth="1"/>
    <col min="2202" max="2202" width="10.7109375" customWidth="1"/>
    <col min="2203" max="2203" width="10.85546875" customWidth="1"/>
    <col min="2204" max="2204" width="11.28515625" customWidth="1"/>
    <col min="2206" max="2206" width="9.7109375" customWidth="1"/>
    <col min="2209" max="2209" width="10.42578125" customWidth="1"/>
    <col min="2453" max="2453" width="7" customWidth="1"/>
    <col min="2454" max="2454" width="33.140625" customWidth="1"/>
    <col min="2455" max="2455" width="6.42578125" customWidth="1"/>
    <col min="2456" max="2456" width="29" customWidth="1"/>
    <col min="2457" max="2457" width="11.42578125" customWidth="1"/>
    <col min="2458" max="2458" width="10.7109375" customWidth="1"/>
    <col min="2459" max="2459" width="10.85546875" customWidth="1"/>
    <col min="2460" max="2460" width="11.28515625" customWidth="1"/>
    <col min="2462" max="2462" width="9.7109375" customWidth="1"/>
    <col min="2465" max="2465" width="10.42578125" customWidth="1"/>
    <col min="2709" max="2709" width="7" customWidth="1"/>
    <col min="2710" max="2710" width="33.140625" customWidth="1"/>
    <col min="2711" max="2711" width="6.42578125" customWidth="1"/>
    <col min="2712" max="2712" width="29" customWidth="1"/>
    <col min="2713" max="2713" width="11.42578125" customWidth="1"/>
    <col min="2714" max="2714" width="10.7109375" customWidth="1"/>
    <col min="2715" max="2715" width="10.85546875" customWidth="1"/>
    <col min="2716" max="2716" width="11.28515625" customWidth="1"/>
    <col min="2718" max="2718" width="9.7109375" customWidth="1"/>
    <col min="2721" max="2721" width="10.42578125" customWidth="1"/>
    <col min="2965" max="2965" width="7" customWidth="1"/>
    <col min="2966" max="2966" width="33.140625" customWidth="1"/>
    <col min="2967" max="2967" width="6.42578125" customWidth="1"/>
    <col min="2968" max="2968" width="29" customWidth="1"/>
    <col min="2969" max="2969" width="11.42578125" customWidth="1"/>
    <col min="2970" max="2970" width="10.7109375" customWidth="1"/>
    <col min="2971" max="2971" width="10.85546875" customWidth="1"/>
    <col min="2972" max="2972" width="11.28515625" customWidth="1"/>
    <col min="2974" max="2974" width="9.7109375" customWidth="1"/>
    <col min="2977" max="2977" width="10.42578125" customWidth="1"/>
    <col min="3221" max="3221" width="7" customWidth="1"/>
    <col min="3222" max="3222" width="33.140625" customWidth="1"/>
    <col min="3223" max="3223" width="6.42578125" customWidth="1"/>
    <col min="3224" max="3224" width="29" customWidth="1"/>
    <col min="3225" max="3225" width="11.42578125" customWidth="1"/>
    <col min="3226" max="3226" width="10.7109375" customWidth="1"/>
    <col min="3227" max="3227" width="10.85546875" customWidth="1"/>
    <col min="3228" max="3228" width="11.28515625" customWidth="1"/>
    <col min="3230" max="3230" width="9.7109375" customWidth="1"/>
    <col min="3233" max="3233" width="10.42578125" customWidth="1"/>
    <col min="3477" max="3477" width="7" customWidth="1"/>
    <col min="3478" max="3478" width="33.140625" customWidth="1"/>
    <col min="3479" max="3479" width="6.42578125" customWidth="1"/>
    <col min="3480" max="3480" width="29" customWidth="1"/>
    <col min="3481" max="3481" width="11.42578125" customWidth="1"/>
    <col min="3482" max="3482" width="10.7109375" customWidth="1"/>
    <col min="3483" max="3483" width="10.85546875" customWidth="1"/>
    <col min="3484" max="3484" width="11.28515625" customWidth="1"/>
    <col min="3486" max="3486" width="9.7109375" customWidth="1"/>
    <col min="3489" max="3489" width="10.42578125" customWidth="1"/>
    <col min="3733" max="3733" width="7" customWidth="1"/>
    <col min="3734" max="3734" width="33.140625" customWidth="1"/>
    <col min="3735" max="3735" width="6.42578125" customWidth="1"/>
    <col min="3736" max="3736" width="29" customWidth="1"/>
    <col min="3737" max="3737" width="11.42578125" customWidth="1"/>
    <col min="3738" max="3738" width="10.7109375" customWidth="1"/>
    <col min="3739" max="3739" width="10.85546875" customWidth="1"/>
    <col min="3740" max="3740" width="11.28515625" customWidth="1"/>
    <col min="3742" max="3742" width="9.7109375" customWidth="1"/>
    <col min="3745" max="3745" width="10.42578125" customWidth="1"/>
    <col min="3989" max="3989" width="7" customWidth="1"/>
    <col min="3990" max="3990" width="33.140625" customWidth="1"/>
    <col min="3991" max="3991" width="6.42578125" customWidth="1"/>
    <col min="3992" max="3992" width="29" customWidth="1"/>
    <col min="3993" max="3993" width="11.42578125" customWidth="1"/>
    <col min="3994" max="3994" width="10.7109375" customWidth="1"/>
    <col min="3995" max="3995" width="10.85546875" customWidth="1"/>
    <col min="3996" max="3996" width="11.28515625" customWidth="1"/>
    <col min="3998" max="3998" width="9.7109375" customWidth="1"/>
    <col min="4001" max="4001" width="10.42578125" customWidth="1"/>
    <col min="4245" max="4245" width="7" customWidth="1"/>
    <col min="4246" max="4246" width="33.140625" customWidth="1"/>
    <col min="4247" max="4247" width="6.42578125" customWidth="1"/>
    <col min="4248" max="4248" width="29" customWidth="1"/>
    <col min="4249" max="4249" width="11.42578125" customWidth="1"/>
    <col min="4250" max="4250" width="10.7109375" customWidth="1"/>
    <col min="4251" max="4251" width="10.85546875" customWidth="1"/>
    <col min="4252" max="4252" width="11.28515625" customWidth="1"/>
    <col min="4254" max="4254" width="9.7109375" customWidth="1"/>
    <col min="4257" max="4257" width="10.42578125" customWidth="1"/>
    <col min="4501" max="4501" width="7" customWidth="1"/>
    <col min="4502" max="4502" width="33.140625" customWidth="1"/>
    <col min="4503" max="4503" width="6.42578125" customWidth="1"/>
    <col min="4504" max="4504" width="29" customWidth="1"/>
    <col min="4505" max="4505" width="11.42578125" customWidth="1"/>
    <col min="4506" max="4506" width="10.7109375" customWidth="1"/>
    <col min="4507" max="4507" width="10.85546875" customWidth="1"/>
    <col min="4508" max="4508" width="11.28515625" customWidth="1"/>
    <col min="4510" max="4510" width="9.7109375" customWidth="1"/>
    <col min="4513" max="4513" width="10.42578125" customWidth="1"/>
    <col min="4757" max="4757" width="7" customWidth="1"/>
    <col min="4758" max="4758" width="33.140625" customWidth="1"/>
    <col min="4759" max="4759" width="6.42578125" customWidth="1"/>
    <col min="4760" max="4760" width="29" customWidth="1"/>
    <col min="4761" max="4761" width="11.42578125" customWidth="1"/>
    <col min="4762" max="4762" width="10.7109375" customWidth="1"/>
    <col min="4763" max="4763" width="10.85546875" customWidth="1"/>
    <col min="4764" max="4764" width="11.28515625" customWidth="1"/>
    <col min="4766" max="4766" width="9.7109375" customWidth="1"/>
    <col min="4769" max="4769" width="10.42578125" customWidth="1"/>
    <col min="5013" max="5013" width="7" customWidth="1"/>
    <col min="5014" max="5014" width="33.140625" customWidth="1"/>
    <col min="5015" max="5015" width="6.42578125" customWidth="1"/>
    <col min="5016" max="5016" width="29" customWidth="1"/>
    <col min="5017" max="5017" width="11.42578125" customWidth="1"/>
    <col min="5018" max="5018" width="10.7109375" customWidth="1"/>
    <col min="5019" max="5019" width="10.85546875" customWidth="1"/>
    <col min="5020" max="5020" width="11.28515625" customWidth="1"/>
    <col min="5022" max="5022" width="9.7109375" customWidth="1"/>
    <col min="5025" max="5025" width="10.42578125" customWidth="1"/>
    <col min="5269" max="5269" width="7" customWidth="1"/>
    <col min="5270" max="5270" width="33.140625" customWidth="1"/>
    <col min="5271" max="5271" width="6.42578125" customWidth="1"/>
    <col min="5272" max="5272" width="29" customWidth="1"/>
    <col min="5273" max="5273" width="11.42578125" customWidth="1"/>
    <col min="5274" max="5274" width="10.7109375" customWidth="1"/>
    <col min="5275" max="5275" width="10.85546875" customWidth="1"/>
    <col min="5276" max="5276" width="11.28515625" customWidth="1"/>
    <col min="5278" max="5278" width="9.7109375" customWidth="1"/>
    <col min="5281" max="5281" width="10.42578125" customWidth="1"/>
    <col min="5525" max="5525" width="7" customWidth="1"/>
    <col min="5526" max="5526" width="33.140625" customWidth="1"/>
    <col min="5527" max="5527" width="6.42578125" customWidth="1"/>
    <col min="5528" max="5528" width="29" customWidth="1"/>
    <col min="5529" max="5529" width="11.42578125" customWidth="1"/>
    <col min="5530" max="5530" width="10.7109375" customWidth="1"/>
    <col min="5531" max="5531" width="10.85546875" customWidth="1"/>
    <col min="5532" max="5532" width="11.28515625" customWidth="1"/>
    <col min="5534" max="5534" width="9.7109375" customWidth="1"/>
    <col min="5537" max="5537" width="10.42578125" customWidth="1"/>
    <col min="5781" max="5781" width="7" customWidth="1"/>
    <col min="5782" max="5782" width="33.140625" customWidth="1"/>
    <col min="5783" max="5783" width="6.42578125" customWidth="1"/>
    <col min="5784" max="5784" width="29" customWidth="1"/>
    <col min="5785" max="5785" width="11.42578125" customWidth="1"/>
    <col min="5786" max="5786" width="10.7109375" customWidth="1"/>
    <col min="5787" max="5787" width="10.85546875" customWidth="1"/>
    <col min="5788" max="5788" width="11.28515625" customWidth="1"/>
    <col min="5790" max="5790" width="9.7109375" customWidth="1"/>
    <col min="5793" max="5793" width="10.42578125" customWidth="1"/>
    <col min="6037" max="6037" width="7" customWidth="1"/>
    <col min="6038" max="6038" width="33.140625" customWidth="1"/>
    <col min="6039" max="6039" width="6.42578125" customWidth="1"/>
    <col min="6040" max="6040" width="29" customWidth="1"/>
    <col min="6041" max="6041" width="11.42578125" customWidth="1"/>
    <col min="6042" max="6042" width="10.7109375" customWidth="1"/>
    <col min="6043" max="6043" width="10.85546875" customWidth="1"/>
    <col min="6044" max="6044" width="11.28515625" customWidth="1"/>
    <col min="6046" max="6046" width="9.7109375" customWidth="1"/>
    <col min="6049" max="6049" width="10.42578125" customWidth="1"/>
    <col min="6293" max="6293" width="7" customWidth="1"/>
    <col min="6294" max="6294" width="33.140625" customWidth="1"/>
    <col min="6295" max="6295" width="6.42578125" customWidth="1"/>
    <col min="6296" max="6296" width="29" customWidth="1"/>
    <col min="6297" max="6297" width="11.42578125" customWidth="1"/>
    <col min="6298" max="6298" width="10.7109375" customWidth="1"/>
    <col min="6299" max="6299" width="10.85546875" customWidth="1"/>
    <col min="6300" max="6300" width="11.28515625" customWidth="1"/>
    <col min="6302" max="6302" width="9.7109375" customWidth="1"/>
    <col min="6305" max="6305" width="10.42578125" customWidth="1"/>
    <col min="6549" max="6549" width="7" customWidth="1"/>
    <col min="6550" max="6550" width="33.140625" customWidth="1"/>
    <col min="6551" max="6551" width="6.42578125" customWidth="1"/>
    <col min="6552" max="6552" width="29" customWidth="1"/>
    <col min="6553" max="6553" width="11.42578125" customWidth="1"/>
    <col min="6554" max="6554" width="10.7109375" customWidth="1"/>
    <col min="6555" max="6555" width="10.85546875" customWidth="1"/>
    <col min="6556" max="6556" width="11.28515625" customWidth="1"/>
    <col min="6558" max="6558" width="9.7109375" customWidth="1"/>
    <col min="6561" max="6561" width="10.42578125" customWidth="1"/>
    <col min="6805" max="6805" width="7" customWidth="1"/>
    <col min="6806" max="6806" width="33.140625" customWidth="1"/>
    <col min="6807" max="6807" width="6.42578125" customWidth="1"/>
    <col min="6808" max="6808" width="29" customWidth="1"/>
    <col min="6809" max="6809" width="11.42578125" customWidth="1"/>
    <col min="6810" max="6810" width="10.7109375" customWidth="1"/>
    <col min="6811" max="6811" width="10.85546875" customWidth="1"/>
    <col min="6812" max="6812" width="11.28515625" customWidth="1"/>
    <col min="6814" max="6814" width="9.7109375" customWidth="1"/>
    <col min="6817" max="6817" width="10.42578125" customWidth="1"/>
    <col min="7061" max="7061" width="7" customWidth="1"/>
    <col min="7062" max="7062" width="33.140625" customWidth="1"/>
    <col min="7063" max="7063" width="6.42578125" customWidth="1"/>
    <col min="7064" max="7064" width="29" customWidth="1"/>
    <col min="7065" max="7065" width="11.42578125" customWidth="1"/>
    <col min="7066" max="7066" width="10.7109375" customWidth="1"/>
    <col min="7067" max="7067" width="10.85546875" customWidth="1"/>
    <col min="7068" max="7068" width="11.28515625" customWidth="1"/>
    <col min="7070" max="7070" width="9.7109375" customWidth="1"/>
    <col min="7073" max="7073" width="10.42578125" customWidth="1"/>
    <col min="7317" max="7317" width="7" customWidth="1"/>
    <col min="7318" max="7318" width="33.140625" customWidth="1"/>
    <col min="7319" max="7319" width="6.42578125" customWidth="1"/>
    <col min="7320" max="7320" width="29" customWidth="1"/>
    <col min="7321" max="7321" width="11.42578125" customWidth="1"/>
    <col min="7322" max="7322" width="10.7109375" customWidth="1"/>
    <col min="7323" max="7323" width="10.85546875" customWidth="1"/>
    <col min="7324" max="7324" width="11.28515625" customWidth="1"/>
    <col min="7326" max="7326" width="9.7109375" customWidth="1"/>
    <col min="7329" max="7329" width="10.42578125" customWidth="1"/>
    <col min="7573" max="7573" width="7" customWidth="1"/>
    <col min="7574" max="7574" width="33.140625" customWidth="1"/>
    <col min="7575" max="7575" width="6.42578125" customWidth="1"/>
    <col min="7576" max="7576" width="29" customWidth="1"/>
    <col min="7577" max="7577" width="11.42578125" customWidth="1"/>
    <col min="7578" max="7578" width="10.7109375" customWidth="1"/>
    <col min="7579" max="7579" width="10.85546875" customWidth="1"/>
    <col min="7580" max="7580" width="11.28515625" customWidth="1"/>
    <col min="7582" max="7582" width="9.7109375" customWidth="1"/>
    <col min="7585" max="7585" width="10.42578125" customWidth="1"/>
    <col min="7829" max="7829" width="7" customWidth="1"/>
    <col min="7830" max="7830" width="33.140625" customWidth="1"/>
    <col min="7831" max="7831" width="6.42578125" customWidth="1"/>
    <col min="7832" max="7832" width="29" customWidth="1"/>
    <col min="7833" max="7833" width="11.42578125" customWidth="1"/>
    <col min="7834" max="7834" width="10.7109375" customWidth="1"/>
    <col min="7835" max="7835" width="10.85546875" customWidth="1"/>
    <col min="7836" max="7836" width="11.28515625" customWidth="1"/>
    <col min="7838" max="7838" width="9.7109375" customWidth="1"/>
    <col min="7841" max="7841" width="10.42578125" customWidth="1"/>
    <col min="8085" max="8085" width="7" customWidth="1"/>
    <col min="8086" max="8086" width="33.140625" customWidth="1"/>
    <col min="8087" max="8087" width="6.42578125" customWidth="1"/>
    <col min="8088" max="8088" width="29" customWidth="1"/>
    <col min="8089" max="8089" width="11.42578125" customWidth="1"/>
    <col min="8090" max="8090" width="10.7109375" customWidth="1"/>
    <col min="8091" max="8091" width="10.85546875" customWidth="1"/>
    <col min="8092" max="8092" width="11.28515625" customWidth="1"/>
    <col min="8094" max="8094" width="9.7109375" customWidth="1"/>
    <col min="8097" max="8097" width="10.42578125" customWidth="1"/>
    <col min="8341" max="8341" width="7" customWidth="1"/>
    <col min="8342" max="8342" width="33.140625" customWidth="1"/>
    <col min="8343" max="8343" width="6.42578125" customWidth="1"/>
    <col min="8344" max="8344" width="29" customWidth="1"/>
    <col min="8345" max="8345" width="11.42578125" customWidth="1"/>
    <col min="8346" max="8346" width="10.7109375" customWidth="1"/>
    <col min="8347" max="8347" width="10.85546875" customWidth="1"/>
    <col min="8348" max="8348" width="11.28515625" customWidth="1"/>
    <col min="8350" max="8350" width="9.7109375" customWidth="1"/>
    <col min="8353" max="8353" width="10.42578125" customWidth="1"/>
    <col min="8597" max="8597" width="7" customWidth="1"/>
    <col min="8598" max="8598" width="33.140625" customWidth="1"/>
    <col min="8599" max="8599" width="6.42578125" customWidth="1"/>
    <col min="8600" max="8600" width="29" customWidth="1"/>
    <col min="8601" max="8601" width="11.42578125" customWidth="1"/>
    <col min="8602" max="8602" width="10.7109375" customWidth="1"/>
    <col min="8603" max="8603" width="10.85546875" customWidth="1"/>
    <col min="8604" max="8604" width="11.28515625" customWidth="1"/>
    <col min="8606" max="8606" width="9.7109375" customWidth="1"/>
    <col min="8609" max="8609" width="10.42578125" customWidth="1"/>
    <col min="8853" max="8853" width="7" customWidth="1"/>
    <col min="8854" max="8854" width="33.140625" customWidth="1"/>
    <col min="8855" max="8855" width="6.42578125" customWidth="1"/>
    <col min="8856" max="8856" width="29" customWidth="1"/>
    <col min="8857" max="8857" width="11.42578125" customWidth="1"/>
    <col min="8858" max="8858" width="10.7109375" customWidth="1"/>
    <col min="8859" max="8859" width="10.85546875" customWidth="1"/>
    <col min="8860" max="8860" width="11.28515625" customWidth="1"/>
    <col min="8862" max="8862" width="9.7109375" customWidth="1"/>
    <col min="8865" max="8865" width="10.42578125" customWidth="1"/>
    <col min="9109" max="9109" width="7" customWidth="1"/>
    <col min="9110" max="9110" width="33.140625" customWidth="1"/>
    <col min="9111" max="9111" width="6.42578125" customWidth="1"/>
    <col min="9112" max="9112" width="29" customWidth="1"/>
    <col min="9113" max="9113" width="11.42578125" customWidth="1"/>
    <col min="9114" max="9114" width="10.7109375" customWidth="1"/>
    <col min="9115" max="9115" width="10.85546875" customWidth="1"/>
    <col min="9116" max="9116" width="11.28515625" customWidth="1"/>
    <col min="9118" max="9118" width="9.7109375" customWidth="1"/>
    <col min="9121" max="9121" width="10.42578125" customWidth="1"/>
    <col min="9365" max="9365" width="7" customWidth="1"/>
    <col min="9366" max="9366" width="33.140625" customWidth="1"/>
    <col min="9367" max="9367" width="6.42578125" customWidth="1"/>
    <col min="9368" max="9368" width="29" customWidth="1"/>
    <col min="9369" max="9369" width="11.42578125" customWidth="1"/>
    <col min="9370" max="9370" width="10.7109375" customWidth="1"/>
    <col min="9371" max="9371" width="10.85546875" customWidth="1"/>
    <col min="9372" max="9372" width="11.28515625" customWidth="1"/>
    <col min="9374" max="9374" width="9.7109375" customWidth="1"/>
    <col min="9377" max="9377" width="10.42578125" customWidth="1"/>
    <col min="9621" max="9621" width="7" customWidth="1"/>
    <col min="9622" max="9622" width="33.140625" customWidth="1"/>
    <col min="9623" max="9623" width="6.42578125" customWidth="1"/>
    <col min="9624" max="9624" width="29" customWidth="1"/>
    <col min="9625" max="9625" width="11.42578125" customWidth="1"/>
    <col min="9626" max="9626" width="10.7109375" customWidth="1"/>
    <col min="9627" max="9627" width="10.85546875" customWidth="1"/>
    <col min="9628" max="9628" width="11.28515625" customWidth="1"/>
    <col min="9630" max="9630" width="9.7109375" customWidth="1"/>
    <col min="9633" max="9633" width="10.42578125" customWidth="1"/>
    <col min="9877" max="9877" width="7" customWidth="1"/>
    <col min="9878" max="9878" width="33.140625" customWidth="1"/>
    <col min="9879" max="9879" width="6.42578125" customWidth="1"/>
    <col min="9880" max="9880" width="29" customWidth="1"/>
    <col min="9881" max="9881" width="11.42578125" customWidth="1"/>
    <col min="9882" max="9882" width="10.7109375" customWidth="1"/>
    <col min="9883" max="9883" width="10.85546875" customWidth="1"/>
    <col min="9884" max="9884" width="11.28515625" customWidth="1"/>
    <col min="9886" max="9886" width="9.7109375" customWidth="1"/>
    <col min="9889" max="9889" width="10.42578125" customWidth="1"/>
    <col min="10133" max="10133" width="7" customWidth="1"/>
    <col min="10134" max="10134" width="33.140625" customWidth="1"/>
    <col min="10135" max="10135" width="6.42578125" customWidth="1"/>
    <col min="10136" max="10136" width="29" customWidth="1"/>
    <col min="10137" max="10137" width="11.42578125" customWidth="1"/>
    <col min="10138" max="10138" width="10.7109375" customWidth="1"/>
    <col min="10139" max="10139" width="10.85546875" customWidth="1"/>
    <col min="10140" max="10140" width="11.28515625" customWidth="1"/>
    <col min="10142" max="10142" width="9.7109375" customWidth="1"/>
    <col min="10145" max="10145" width="10.42578125" customWidth="1"/>
    <col min="10389" max="10389" width="7" customWidth="1"/>
    <col min="10390" max="10390" width="33.140625" customWidth="1"/>
    <col min="10391" max="10391" width="6.42578125" customWidth="1"/>
    <col min="10392" max="10392" width="29" customWidth="1"/>
    <col min="10393" max="10393" width="11.42578125" customWidth="1"/>
    <col min="10394" max="10394" width="10.7109375" customWidth="1"/>
    <col min="10395" max="10395" width="10.85546875" customWidth="1"/>
    <col min="10396" max="10396" width="11.28515625" customWidth="1"/>
    <col min="10398" max="10398" width="9.7109375" customWidth="1"/>
    <col min="10401" max="10401" width="10.42578125" customWidth="1"/>
    <col min="10645" max="10645" width="7" customWidth="1"/>
    <col min="10646" max="10646" width="33.140625" customWidth="1"/>
    <col min="10647" max="10647" width="6.42578125" customWidth="1"/>
    <col min="10648" max="10648" width="29" customWidth="1"/>
    <col min="10649" max="10649" width="11.42578125" customWidth="1"/>
    <col min="10650" max="10650" width="10.7109375" customWidth="1"/>
    <col min="10651" max="10651" width="10.85546875" customWidth="1"/>
    <col min="10652" max="10652" width="11.28515625" customWidth="1"/>
    <col min="10654" max="10654" width="9.7109375" customWidth="1"/>
    <col min="10657" max="10657" width="10.42578125" customWidth="1"/>
    <col min="10901" max="10901" width="7" customWidth="1"/>
    <col min="10902" max="10902" width="33.140625" customWidth="1"/>
    <col min="10903" max="10903" width="6.42578125" customWidth="1"/>
    <col min="10904" max="10904" width="29" customWidth="1"/>
    <col min="10905" max="10905" width="11.42578125" customWidth="1"/>
    <col min="10906" max="10906" width="10.7109375" customWidth="1"/>
    <col min="10907" max="10907" width="10.85546875" customWidth="1"/>
    <col min="10908" max="10908" width="11.28515625" customWidth="1"/>
    <col min="10910" max="10910" width="9.7109375" customWidth="1"/>
    <col min="10913" max="10913" width="10.42578125" customWidth="1"/>
    <col min="11157" max="11157" width="7" customWidth="1"/>
    <col min="11158" max="11158" width="33.140625" customWidth="1"/>
    <col min="11159" max="11159" width="6.42578125" customWidth="1"/>
    <col min="11160" max="11160" width="29" customWidth="1"/>
    <col min="11161" max="11161" width="11.42578125" customWidth="1"/>
    <col min="11162" max="11162" width="10.7109375" customWidth="1"/>
    <col min="11163" max="11163" width="10.85546875" customWidth="1"/>
    <col min="11164" max="11164" width="11.28515625" customWidth="1"/>
    <col min="11166" max="11166" width="9.7109375" customWidth="1"/>
    <col min="11169" max="11169" width="10.42578125" customWidth="1"/>
    <col min="11413" max="11413" width="7" customWidth="1"/>
    <col min="11414" max="11414" width="33.140625" customWidth="1"/>
    <col min="11415" max="11415" width="6.42578125" customWidth="1"/>
    <col min="11416" max="11416" width="29" customWidth="1"/>
    <col min="11417" max="11417" width="11.42578125" customWidth="1"/>
    <col min="11418" max="11418" width="10.7109375" customWidth="1"/>
    <col min="11419" max="11419" width="10.85546875" customWidth="1"/>
    <col min="11420" max="11420" width="11.28515625" customWidth="1"/>
    <col min="11422" max="11422" width="9.7109375" customWidth="1"/>
    <col min="11425" max="11425" width="10.42578125" customWidth="1"/>
    <col min="11669" max="11669" width="7" customWidth="1"/>
    <col min="11670" max="11670" width="33.140625" customWidth="1"/>
    <col min="11671" max="11671" width="6.42578125" customWidth="1"/>
    <col min="11672" max="11672" width="29" customWidth="1"/>
    <col min="11673" max="11673" width="11.42578125" customWidth="1"/>
    <col min="11674" max="11674" width="10.7109375" customWidth="1"/>
    <col min="11675" max="11675" width="10.85546875" customWidth="1"/>
    <col min="11676" max="11676" width="11.28515625" customWidth="1"/>
    <col min="11678" max="11678" width="9.7109375" customWidth="1"/>
    <col min="11681" max="11681" width="10.42578125" customWidth="1"/>
    <col min="11925" max="11925" width="7" customWidth="1"/>
    <col min="11926" max="11926" width="33.140625" customWidth="1"/>
    <col min="11927" max="11927" width="6.42578125" customWidth="1"/>
    <col min="11928" max="11928" width="29" customWidth="1"/>
    <col min="11929" max="11929" width="11.42578125" customWidth="1"/>
    <col min="11930" max="11930" width="10.7109375" customWidth="1"/>
    <col min="11931" max="11931" width="10.85546875" customWidth="1"/>
    <col min="11932" max="11932" width="11.28515625" customWidth="1"/>
    <col min="11934" max="11934" width="9.7109375" customWidth="1"/>
    <col min="11937" max="11937" width="10.42578125" customWidth="1"/>
    <col min="12181" max="12181" width="7" customWidth="1"/>
    <col min="12182" max="12182" width="33.140625" customWidth="1"/>
    <col min="12183" max="12183" width="6.42578125" customWidth="1"/>
    <col min="12184" max="12184" width="29" customWidth="1"/>
    <col min="12185" max="12185" width="11.42578125" customWidth="1"/>
    <col min="12186" max="12186" width="10.7109375" customWidth="1"/>
    <col min="12187" max="12187" width="10.85546875" customWidth="1"/>
    <col min="12188" max="12188" width="11.28515625" customWidth="1"/>
    <col min="12190" max="12190" width="9.7109375" customWidth="1"/>
    <col min="12193" max="12193" width="10.42578125" customWidth="1"/>
    <col min="12437" max="12437" width="7" customWidth="1"/>
    <col min="12438" max="12438" width="33.140625" customWidth="1"/>
    <col min="12439" max="12439" width="6.42578125" customWidth="1"/>
    <col min="12440" max="12440" width="29" customWidth="1"/>
    <col min="12441" max="12441" width="11.42578125" customWidth="1"/>
    <col min="12442" max="12442" width="10.7109375" customWidth="1"/>
    <col min="12443" max="12443" width="10.85546875" customWidth="1"/>
    <col min="12444" max="12444" width="11.28515625" customWidth="1"/>
    <col min="12446" max="12446" width="9.7109375" customWidth="1"/>
    <col min="12449" max="12449" width="10.42578125" customWidth="1"/>
    <col min="12693" max="12693" width="7" customWidth="1"/>
    <col min="12694" max="12694" width="33.140625" customWidth="1"/>
    <col min="12695" max="12695" width="6.42578125" customWidth="1"/>
    <col min="12696" max="12696" width="29" customWidth="1"/>
    <col min="12697" max="12697" width="11.42578125" customWidth="1"/>
    <col min="12698" max="12698" width="10.7109375" customWidth="1"/>
    <col min="12699" max="12699" width="10.85546875" customWidth="1"/>
    <col min="12700" max="12700" width="11.28515625" customWidth="1"/>
    <col min="12702" max="12702" width="9.7109375" customWidth="1"/>
    <col min="12705" max="12705" width="10.42578125" customWidth="1"/>
    <col min="12949" max="12949" width="7" customWidth="1"/>
    <col min="12950" max="12950" width="33.140625" customWidth="1"/>
    <col min="12951" max="12951" width="6.42578125" customWidth="1"/>
    <col min="12952" max="12952" width="29" customWidth="1"/>
    <col min="12953" max="12953" width="11.42578125" customWidth="1"/>
    <col min="12954" max="12954" width="10.7109375" customWidth="1"/>
    <col min="12955" max="12955" width="10.85546875" customWidth="1"/>
    <col min="12956" max="12956" width="11.28515625" customWidth="1"/>
    <col min="12958" max="12958" width="9.7109375" customWidth="1"/>
    <col min="12961" max="12961" width="10.42578125" customWidth="1"/>
    <col min="13205" max="13205" width="7" customWidth="1"/>
    <col min="13206" max="13206" width="33.140625" customWidth="1"/>
    <col min="13207" max="13207" width="6.42578125" customWidth="1"/>
    <col min="13208" max="13208" width="29" customWidth="1"/>
    <col min="13209" max="13209" width="11.42578125" customWidth="1"/>
    <col min="13210" max="13210" width="10.7109375" customWidth="1"/>
    <col min="13211" max="13211" width="10.85546875" customWidth="1"/>
    <col min="13212" max="13212" width="11.28515625" customWidth="1"/>
    <col min="13214" max="13214" width="9.7109375" customWidth="1"/>
    <col min="13217" max="13217" width="10.42578125" customWidth="1"/>
    <col min="13461" max="13461" width="7" customWidth="1"/>
    <col min="13462" max="13462" width="33.140625" customWidth="1"/>
    <col min="13463" max="13463" width="6.42578125" customWidth="1"/>
    <col min="13464" max="13464" width="29" customWidth="1"/>
    <col min="13465" max="13465" width="11.42578125" customWidth="1"/>
    <col min="13466" max="13466" width="10.7109375" customWidth="1"/>
    <col min="13467" max="13467" width="10.85546875" customWidth="1"/>
    <col min="13468" max="13468" width="11.28515625" customWidth="1"/>
    <col min="13470" max="13470" width="9.7109375" customWidth="1"/>
    <col min="13473" max="13473" width="10.42578125" customWidth="1"/>
    <col min="13717" max="13717" width="7" customWidth="1"/>
    <col min="13718" max="13718" width="33.140625" customWidth="1"/>
    <col min="13719" max="13719" width="6.42578125" customWidth="1"/>
    <col min="13720" max="13720" width="29" customWidth="1"/>
    <col min="13721" max="13721" width="11.42578125" customWidth="1"/>
    <col min="13722" max="13722" width="10.7109375" customWidth="1"/>
    <col min="13723" max="13723" width="10.85546875" customWidth="1"/>
    <col min="13724" max="13724" width="11.28515625" customWidth="1"/>
    <col min="13726" max="13726" width="9.7109375" customWidth="1"/>
    <col min="13729" max="13729" width="10.42578125" customWidth="1"/>
    <col min="13973" max="13973" width="7" customWidth="1"/>
    <col min="13974" max="13974" width="33.140625" customWidth="1"/>
    <col min="13975" max="13975" width="6.42578125" customWidth="1"/>
    <col min="13976" max="13976" width="29" customWidth="1"/>
    <col min="13977" max="13977" width="11.42578125" customWidth="1"/>
    <col min="13978" max="13978" width="10.7109375" customWidth="1"/>
    <col min="13979" max="13979" width="10.85546875" customWidth="1"/>
    <col min="13980" max="13980" width="11.28515625" customWidth="1"/>
    <col min="13982" max="13982" width="9.7109375" customWidth="1"/>
    <col min="13985" max="13985" width="10.42578125" customWidth="1"/>
    <col min="14229" max="14229" width="7" customWidth="1"/>
    <col min="14230" max="14230" width="33.140625" customWidth="1"/>
    <col min="14231" max="14231" width="6.42578125" customWidth="1"/>
    <col min="14232" max="14232" width="29" customWidth="1"/>
    <col min="14233" max="14233" width="11.42578125" customWidth="1"/>
    <col min="14234" max="14234" width="10.7109375" customWidth="1"/>
    <col min="14235" max="14235" width="10.85546875" customWidth="1"/>
    <col min="14236" max="14236" width="11.28515625" customWidth="1"/>
    <col min="14238" max="14238" width="9.7109375" customWidth="1"/>
    <col min="14241" max="14241" width="10.42578125" customWidth="1"/>
    <col min="14485" max="14485" width="7" customWidth="1"/>
    <col min="14486" max="14486" width="33.140625" customWidth="1"/>
    <col min="14487" max="14487" width="6.42578125" customWidth="1"/>
    <col min="14488" max="14488" width="29" customWidth="1"/>
    <col min="14489" max="14489" width="11.42578125" customWidth="1"/>
    <col min="14490" max="14490" width="10.7109375" customWidth="1"/>
    <col min="14491" max="14491" width="10.85546875" customWidth="1"/>
    <col min="14492" max="14492" width="11.28515625" customWidth="1"/>
    <col min="14494" max="14494" width="9.7109375" customWidth="1"/>
    <col min="14497" max="14497" width="10.42578125" customWidth="1"/>
    <col min="14741" max="14741" width="7" customWidth="1"/>
    <col min="14742" max="14742" width="33.140625" customWidth="1"/>
    <col min="14743" max="14743" width="6.42578125" customWidth="1"/>
    <col min="14744" max="14744" width="29" customWidth="1"/>
    <col min="14745" max="14745" width="11.42578125" customWidth="1"/>
    <col min="14746" max="14746" width="10.7109375" customWidth="1"/>
    <col min="14747" max="14747" width="10.85546875" customWidth="1"/>
    <col min="14748" max="14748" width="11.28515625" customWidth="1"/>
    <col min="14750" max="14750" width="9.7109375" customWidth="1"/>
    <col min="14753" max="14753" width="10.42578125" customWidth="1"/>
    <col min="14997" max="14997" width="7" customWidth="1"/>
    <col min="14998" max="14998" width="33.140625" customWidth="1"/>
    <col min="14999" max="14999" width="6.42578125" customWidth="1"/>
    <col min="15000" max="15000" width="29" customWidth="1"/>
    <col min="15001" max="15001" width="11.42578125" customWidth="1"/>
    <col min="15002" max="15002" width="10.7109375" customWidth="1"/>
    <col min="15003" max="15003" width="10.85546875" customWidth="1"/>
    <col min="15004" max="15004" width="11.28515625" customWidth="1"/>
    <col min="15006" max="15006" width="9.7109375" customWidth="1"/>
    <col min="15009" max="15009" width="10.42578125" customWidth="1"/>
    <col min="15253" max="15253" width="7" customWidth="1"/>
    <col min="15254" max="15254" width="33.140625" customWidth="1"/>
    <col min="15255" max="15255" width="6.42578125" customWidth="1"/>
    <col min="15256" max="15256" width="29" customWidth="1"/>
    <col min="15257" max="15257" width="11.42578125" customWidth="1"/>
    <col min="15258" max="15258" width="10.7109375" customWidth="1"/>
    <col min="15259" max="15259" width="10.85546875" customWidth="1"/>
    <col min="15260" max="15260" width="11.28515625" customWidth="1"/>
    <col min="15262" max="15262" width="9.7109375" customWidth="1"/>
    <col min="15265" max="15265" width="10.42578125" customWidth="1"/>
    <col min="15509" max="15509" width="7" customWidth="1"/>
    <col min="15510" max="15510" width="33.140625" customWidth="1"/>
    <col min="15511" max="15511" width="6.42578125" customWidth="1"/>
    <col min="15512" max="15512" width="29" customWidth="1"/>
    <col min="15513" max="15513" width="11.42578125" customWidth="1"/>
    <col min="15514" max="15514" width="10.7109375" customWidth="1"/>
    <col min="15515" max="15515" width="10.85546875" customWidth="1"/>
    <col min="15516" max="15516" width="11.28515625" customWidth="1"/>
    <col min="15518" max="15518" width="9.7109375" customWidth="1"/>
    <col min="15521" max="15521" width="10.42578125" customWidth="1"/>
    <col min="15765" max="15765" width="7" customWidth="1"/>
    <col min="15766" max="15766" width="33.140625" customWidth="1"/>
    <col min="15767" max="15767" width="6.42578125" customWidth="1"/>
    <col min="15768" max="15768" width="29" customWidth="1"/>
    <col min="15769" max="15769" width="11.42578125" customWidth="1"/>
    <col min="15770" max="15770" width="10.7109375" customWidth="1"/>
    <col min="15771" max="15771" width="10.85546875" customWidth="1"/>
    <col min="15772" max="15772" width="11.28515625" customWidth="1"/>
    <col min="15774" max="15774" width="9.7109375" customWidth="1"/>
    <col min="15777" max="15777" width="10.42578125" customWidth="1"/>
    <col min="16021" max="16021" width="7" customWidth="1"/>
    <col min="16022" max="16022" width="33.140625" customWidth="1"/>
    <col min="16023" max="16023" width="6.42578125" customWidth="1"/>
    <col min="16024" max="16024" width="29" customWidth="1"/>
    <col min="16025" max="16025" width="11.42578125" customWidth="1"/>
    <col min="16026" max="16026" width="10.7109375" customWidth="1"/>
    <col min="16027" max="16027" width="10.85546875" customWidth="1"/>
    <col min="16028" max="16028" width="11.28515625" customWidth="1"/>
    <col min="16030" max="16030" width="9.7109375" customWidth="1"/>
    <col min="16033" max="16033" width="10.42578125" customWidth="1"/>
  </cols>
  <sheetData>
    <row r="1" spans="1:45" ht="15" x14ac:dyDescent="0.25">
      <c r="A1" s="46" t="s">
        <v>2</v>
      </c>
      <c r="B1" s="46"/>
      <c r="C1" s="38"/>
      <c r="D1" s="46"/>
      <c r="E1" s="46"/>
      <c r="F1" s="61"/>
      <c r="G1" s="61"/>
      <c r="H1" s="61"/>
      <c r="AD1" s="48"/>
      <c r="AE1" s="48"/>
      <c r="AF1" s="59"/>
      <c r="AG1" s="59"/>
      <c r="AH1" s="59"/>
      <c r="AI1" s="59"/>
      <c r="AJ1" s="59"/>
      <c r="AK1" s="59"/>
      <c r="AL1" s="59"/>
      <c r="AM1" s="48"/>
      <c r="AN1" s="48"/>
      <c r="AO1" s="48"/>
      <c r="AP1" s="48"/>
      <c r="AQ1" s="48"/>
      <c r="AR1" s="48"/>
      <c r="AS1" s="59"/>
    </row>
    <row r="2" spans="1:45" ht="15" x14ac:dyDescent="0.25">
      <c r="A2" s="46" t="s">
        <v>3</v>
      </c>
      <c r="B2" s="46"/>
      <c r="C2" s="38"/>
      <c r="D2" s="46"/>
      <c r="E2" s="46"/>
      <c r="F2" s="61"/>
      <c r="G2" s="61"/>
      <c r="H2" s="61"/>
    </row>
    <row r="3" spans="1:45" ht="12.75" customHeight="1" x14ac:dyDescent="0.25">
      <c r="A3" s="996" t="s">
        <v>4</v>
      </c>
      <c r="B3" s="996"/>
      <c r="C3" s="996"/>
      <c r="D3" s="996"/>
      <c r="E3" s="996"/>
      <c r="F3" s="61"/>
      <c r="G3" s="61"/>
      <c r="H3" s="61"/>
      <c r="AF3" s="412"/>
    </row>
    <row r="4" spans="1:45" ht="15" x14ac:dyDescent="0.25">
      <c r="A4" s="60"/>
      <c r="B4" s="46"/>
      <c r="C4" s="46"/>
      <c r="D4" s="46"/>
      <c r="E4" s="46"/>
      <c r="F4" s="61"/>
      <c r="G4" s="61"/>
      <c r="H4" s="61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P5" s="916"/>
      <c r="Q5" s="851" t="s">
        <v>815</v>
      </c>
      <c r="R5" s="845"/>
      <c r="S5" s="845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916"/>
      <c r="AG5" s="851" t="s">
        <v>815</v>
      </c>
      <c r="AH5" s="845"/>
      <c r="AI5" s="50"/>
      <c r="AJ5" s="50"/>
      <c r="AK5" s="50"/>
      <c r="AL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A7" s="60"/>
      <c r="B7" s="5"/>
      <c r="D7" s="9"/>
      <c r="E7" s="5"/>
      <c r="F7" s="61"/>
      <c r="G7" s="61"/>
      <c r="H7" s="61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87"/>
      <c r="B8" s="62"/>
      <c r="C8" s="62"/>
      <c r="D8" s="62"/>
      <c r="E8" s="62"/>
      <c r="F8" s="62"/>
      <c r="G8" s="62"/>
      <c r="H8" s="62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19.5" customHeight="1" thickBot="1" x14ac:dyDescent="0.25">
      <c r="A9" s="10" t="s">
        <v>747</v>
      </c>
      <c r="D9" s="10"/>
      <c r="F9" s="51"/>
      <c r="G9" s="52"/>
      <c r="H9" s="52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7" customHeight="1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91" customFormat="1" ht="12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94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ht="14.1" customHeight="1" x14ac:dyDescent="0.2">
      <c r="A12" s="424">
        <v>1</v>
      </c>
      <c r="B12" s="425">
        <v>3475</v>
      </c>
      <c r="C12" s="425">
        <v>691008604</v>
      </c>
      <c r="D12" s="425">
        <v>4624548</v>
      </c>
      <c r="E12" s="426" t="s">
        <v>112</v>
      </c>
      <c r="F12" s="425">
        <v>3111</v>
      </c>
      <c r="G12" s="427" t="s">
        <v>277</v>
      </c>
      <c r="H12" s="557" t="s">
        <v>262</v>
      </c>
      <c r="I12" s="579">
        <v>3409307</v>
      </c>
      <c r="J12" s="521">
        <v>2529159</v>
      </c>
      <c r="K12" s="521">
        <v>0</v>
      </c>
      <c r="L12" s="745">
        <v>854856</v>
      </c>
      <c r="M12" s="745">
        <v>25292</v>
      </c>
      <c r="N12" s="745">
        <v>0</v>
      </c>
      <c r="O12" s="681">
        <v>4.0599999999999996</v>
      </c>
      <c r="P12" s="572">
        <f>W12*-1</f>
        <v>0</v>
      </c>
      <c r="Q12" s="573">
        <v>0</v>
      </c>
      <c r="R12" s="573">
        <v>0</v>
      </c>
      <c r="S12" s="573">
        <v>0</v>
      </c>
      <c r="T12" s="573">
        <v>0</v>
      </c>
      <c r="U12" s="573">
        <v>0</v>
      </c>
      <c r="V12" s="573">
        <f>P12+Q12+R12+S12+T12+U12</f>
        <v>0</v>
      </c>
      <c r="W12" s="573">
        <v>0</v>
      </c>
      <c r="X12" s="573">
        <v>0</v>
      </c>
      <c r="Y12" s="573">
        <v>0</v>
      </c>
      <c r="Z12" s="573">
        <f>W12+X12+Y12</f>
        <v>0</v>
      </c>
      <c r="AA12" s="573">
        <f>V12+Z12</f>
        <v>0</v>
      </c>
      <c r="AB12" s="575">
        <f>ROUND((V12+Z12)*33.8%,0)</f>
        <v>0</v>
      </c>
      <c r="AC12" s="575">
        <f>ROUND(V12*1%,0)</f>
        <v>0</v>
      </c>
      <c r="AD12" s="573">
        <v>0</v>
      </c>
      <c r="AE12" s="573">
        <f>AA12+AB12+AC12+AD12</f>
        <v>0</v>
      </c>
      <c r="AF12" s="576">
        <v>0</v>
      </c>
      <c r="AG12" s="576">
        <v>0</v>
      </c>
      <c r="AH12" s="576">
        <v>0</v>
      </c>
      <c r="AI12" s="576">
        <v>0</v>
      </c>
      <c r="AJ12" s="576">
        <v>0</v>
      </c>
      <c r="AK12" s="576">
        <v>0</v>
      </c>
      <c r="AL12" s="576">
        <f>SUM(AF12:AK12)</f>
        <v>0</v>
      </c>
      <c r="AM12" s="573">
        <f>I12+AE12</f>
        <v>3409307</v>
      </c>
      <c r="AN12" s="573">
        <f>J12+V12</f>
        <v>2529159</v>
      </c>
      <c r="AO12" s="573">
        <f>K12+Z12</f>
        <v>0</v>
      </c>
      <c r="AP12" s="573">
        <f t="shared" ref="AP12:AR13" si="0">L12+AB12</f>
        <v>854856</v>
      </c>
      <c r="AQ12" s="573">
        <f t="shared" si="0"/>
        <v>25292</v>
      </c>
      <c r="AR12" s="573">
        <f t="shared" si="0"/>
        <v>0</v>
      </c>
      <c r="AS12" s="576">
        <f>O12+AL12</f>
        <v>4.0599999999999996</v>
      </c>
    </row>
    <row r="13" spans="1:45" ht="13.5" customHeight="1" x14ac:dyDescent="0.2">
      <c r="A13" s="136">
        <v>1</v>
      </c>
      <c r="B13" s="137">
        <v>3475</v>
      </c>
      <c r="C13" s="137">
        <v>691008604</v>
      </c>
      <c r="D13" s="137">
        <v>4624548</v>
      </c>
      <c r="E13" s="135" t="s">
        <v>113</v>
      </c>
      <c r="F13" s="137">
        <v>3111</v>
      </c>
      <c r="G13" s="138" t="s">
        <v>278</v>
      </c>
      <c r="H13" s="558" t="s">
        <v>263</v>
      </c>
      <c r="I13" s="580">
        <v>401213</v>
      </c>
      <c r="J13" s="490">
        <v>297636</v>
      </c>
      <c r="K13" s="490">
        <v>0</v>
      </c>
      <c r="L13" s="55">
        <v>100601</v>
      </c>
      <c r="M13" s="55">
        <v>2976</v>
      </c>
      <c r="N13" s="55">
        <v>0</v>
      </c>
      <c r="O13" s="614">
        <v>0.75</v>
      </c>
      <c r="P13" s="440">
        <f>W13*-1</f>
        <v>0</v>
      </c>
      <c r="Q13" s="325">
        <v>0</v>
      </c>
      <c r="R13" s="325">
        <v>0</v>
      </c>
      <c r="S13" s="325">
        <v>0</v>
      </c>
      <c r="T13" s="325">
        <v>0</v>
      </c>
      <c r="U13" s="325">
        <v>0</v>
      </c>
      <c r="V13" s="492">
        <f>P13+Q13+R13+S13+T13+U13</f>
        <v>0</v>
      </c>
      <c r="W13" s="325">
        <v>0</v>
      </c>
      <c r="X13" s="325">
        <v>0</v>
      </c>
      <c r="Y13" s="325">
        <v>0</v>
      </c>
      <c r="Z13" s="492">
        <f>W13+X13+Y13</f>
        <v>0</v>
      </c>
      <c r="AA13" s="492">
        <f>V13+Z13</f>
        <v>0</v>
      </c>
      <c r="AB13" s="494">
        <f>ROUND((V13+Z13)*33.8%,0)</f>
        <v>0</v>
      </c>
      <c r="AC13" s="494">
        <f>ROUND(V13*1%,0)</f>
        <v>0</v>
      </c>
      <c r="AD13" s="492">
        <v>0</v>
      </c>
      <c r="AE13" s="492">
        <f>AA13+AB13+AC13+AD13</f>
        <v>0</v>
      </c>
      <c r="AF13" s="326">
        <v>0</v>
      </c>
      <c r="AG13" s="326">
        <v>0</v>
      </c>
      <c r="AH13" s="326">
        <v>0</v>
      </c>
      <c r="AI13" s="326">
        <v>0</v>
      </c>
      <c r="AJ13" s="326">
        <v>0</v>
      </c>
      <c r="AK13" s="326">
        <v>0</v>
      </c>
      <c r="AL13" s="491">
        <f>SUM(AF13:AK13)</f>
        <v>0</v>
      </c>
      <c r="AM13" s="492">
        <f>I13+AE13</f>
        <v>401213</v>
      </c>
      <c r="AN13" s="492">
        <f>J13+V13</f>
        <v>297636</v>
      </c>
      <c r="AO13" s="573">
        <f>K13+Z13</f>
        <v>0</v>
      </c>
      <c r="AP13" s="492">
        <f t="shared" si="0"/>
        <v>100601</v>
      </c>
      <c r="AQ13" s="492">
        <f t="shared" si="0"/>
        <v>2976</v>
      </c>
      <c r="AR13" s="492">
        <f t="shared" si="0"/>
        <v>0</v>
      </c>
      <c r="AS13" s="491">
        <f>O13+AL13</f>
        <v>0.75</v>
      </c>
    </row>
    <row r="14" spans="1:45" ht="13.5" customHeight="1" x14ac:dyDescent="0.2">
      <c r="A14" s="107">
        <v>1</v>
      </c>
      <c r="B14" s="15">
        <v>3475</v>
      </c>
      <c r="C14" s="15">
        <v>691008604</v>
      </c>
      <c r="D14" s="15">
        <v>4624548</v>
      </c>
      <c r="E14" s="116" t="s">
        <v>114</v>
      </c>
      <c r="F14" s="15"/>
      <c r="G14" s="106"/>
      <c r="H14" s="555"/>
      <c r="I14" s="758">
        <v>3810520</v>
      </c>
      <c r="J14" s="343">
        <v>2826795</v>
      </c>
      <c r="K14" s="343">
        <v>0</v>
      </c>
      <c r="L14" s="343">
        <v>955457</v>
      </c>
      <c r="M14" s="343">
        <v>28268</v>
      </c>
      <c r="N14" s="343">
        <v>0</v>
      </c>
      <c r="O14" s="35">
        <v>4.8099999999999996</v>
      </c>
      <c r="P14" s="346">
        <f t="shared" ref="P14:AS14" si="1">SUM(P12:P13)</f>
        <v>0</v>
      </c>
      <c r="Q14" s="343">
        <f t="shared" si="1"/>
        <v>0</v>
      </c>
      <c r="R14" s="343">
        <f t="shared" si="1"/>
        <v>0</v>
      </c>
      <c r="S14" s="343">
        <f t="shared" si="1"/>
        <v>0</v>
      </c>
      <c r="T14" s="343">
        <f t="shared" si="1"/>
        <v>0</v>
      </c>
      <c r="U14" s="343">
        <f t="shared" si="1"/>
        <v>0</v>
      </c>
      <c r="V14" s="343">
        <f t="shared" si="1"/>
        <v>0</v>
      </c>
      <c r="W14" s="343">
        <f t="shared" si="1"/>
        <v>0</v>
      </c>
      <c r="X14" s="343">
        <f t="shared" si="1"/>
        <v>0</v>
      </c>
      <c r="Y14" s="343">
        <f t="shared" si="1"/>
        <v>0</v>
      </c>
      <c r="Z14" s="343">
        <f t="shared" si="1"/>
        <v>0</v>
      </c>
      <c r="AA14" s="343">
        <f t="shared" si="1"/>
        <v>0</v>
      </c>
      <c r="AB14" s="343">
        <f t="shared" si="1"/>
        <v>0</v>
      </c>
      <c r="AC14" s="343">
        <f t="shared" si="1"/>
        <v>0</v>
      </c>
      <c r="AD14" s="343">
        <f t="shared" si="1"/>
        <v>0</v>
      </c>
      <c r="AE14" s="343">
        <f t="shared" si="1"/>
        <v>0</v>
      </c>
      <c r="AF14" s="344">
        <f t="shared" si="1"/>
        <v>0</v>
      </c>
      <c r="AG14" s="344">
        <f t="shared" si="1"/>
        <v>0</v>
      </c>
      <c r="AH14" s="344">
        <f t="shared" si="1"/>
        <v>0</v>
      </c>
      <c r="AI14" s="344">
        <f t="shared" si="1"/>
        <v>0</v>
      </c>
      <c r="AJ14" s="344">
        <f t="shared" si="1"/>
        <v>0</v>
      </c>
      <c r="AK14" s="344">
        <f t="shared" si="1"/>
        <v>0</v>
      </c>
      <c r="AL14" s="35">
        <f t="shared" si="1"/>
        <v>0</v>
      </c>
      <c r="AM14" s="346">
        <f t="shared" si="1"/>
        <v>3810520</v>
      </c>
      <c r="AN14" s="343">
        <f t="shared" si="1"/>
        <v>2826795</v>
      </c>
      <c r="AO14" s="343">
        <f t="shared" si="1"/>
        <v>0</v>
      </c>
      <c r="AP14" s="343">
        <f t="shared" si="1"/>
        <v>955457</v>
      </c>
      <c r="AQ14" s="343">
        <f t="shared" si="1"/>
        <v>28268</v>
      </c>
      <c r="AR14" s="343">
        <f t="shared" si="1"/>
        <v>0</v>
      </c>
      <c r="AS14" s="344">
        <f t="shared" si="1"/>
        <v>4.8099999999999996</v>
      </c>
    </row>
    <row r="15" spans="1:45" ht="13.5" customHeight="1" x14ac:dyDescent="0.2">
      <c r="A15" s="136">
        <v>2</v>
      </c>
      <c r="B15" s="137">
        <v>3449</v>
      </c>
      <c r="C15" s="137">
        <v>600078116</v>
      </c>
      <c r="D15" s="137">
        <v>70695016</v>
      </c>
      <c r="E15" s="135" t="s">
        <v>115</v>
      </c>
      <c r="F15" s="137">
        <v>3111</v>
      </c>
      <c r="G15" s="138" t="s">
        <v>277</v>
      </c>
      <c r="H15" s="558" t="s">
        <v>262</v>
      </c>
      <c r="I15" s="580">
        <v>4705612</v>
      </c>
      <c r="J15" s="490">
        <v>3461033</v>
      </c>
      <c r="K15" s="490">
        <v>30000</v>
      </c>
      <c r="L15" s="55">
        <v>1179969</v>
      </c>
      <c r="M15" s="55">
        <v>34610</v>
      </c>
      <c r="N15" s="55">
        <v>0</v>
      </c>
      <c r="O15" s="614">
        <v>6</v>
      </c>
      <c r="P15" s="445">
        <f>W15*-1</f>
        <v>-20000</v>
      </c>
      <c r="Q15" s="325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 t="shared" ref="V15:V16" si="2">P15+Q15+R15+S15+T15+U15</f>
        <v>-20000</v>
      </c>
      <c r="W15" s="325">
        <v>20000</v>
      </c>
      <c r="X15" s="325">
        <v>0</v>
      </c>
      <c r="Y15" s="325">
        <v>0</v>
      </c>
      <c r="Z15" s="492">
        <f t="shared" ref="Z15:Z16" si="3">W15+X15+Y15</f>
        <v>20000</v>
      </c>
      <c r="AA15" s="492">
        <f t="shared" ref="AA15:AA16" si="4">V15+Z15</f>
        <v>0</v>
      </c>
      <c r="AB15" s="494">
        <f t="shared" ref="AB15:AB16" si="5">ROUND((V15+Z15)*33.8%,0)</f>
        <v>0</v>
      </c>
      <c r="AC15" s="494">
        <f t="shared" ref="AC15:AC16" si="6">ROUND(V15*1%,0)</f>
        <v>-200</v>
      </c>
      <c r="AD15" s="492">
        <v>0</v>
      </c>
      <c r="AE15" s="492">
        <f t="shared" ref="AE15:AE16" si="7">AA15+AB15+AC15+AD15</f>
        <v>-200</v>
      </c>
      <c r="AF15" s="326">
        <v>0</v>
      </c>
      <c r="AG15" s="326">
        <v>0</v>
      </c>
      <c r="AH15" s="326">
        <v>0</v>
      </c>
      <c r="AI15" s="326">
        <v>0</v>
      </c>
      <c r="AJ15" s="326">
        <v>0</v>
      </c>
      <c r="AK15" s="326">
        <v>0</v>
      </c>
      <c r="AL15" s="491">
        <f t="shared" ref="AL15:AL16" si="8">SUM(AF15:AK15)</f>
        <v>0</v>
      </c>
      <c r="AM15" s="492">
        <f>I15+AE15</f>
        <v>4705412</v>
      </c>
      <c r="AN15" s="492">
        <f>J15+V15</f>
        <v>3441033</v>
      </c>
      <c r="AO15" s="573">
        <f t="shared" ref="AO15:AO16" si="9">K15+Z15</f>
        <v>50000</v>
      </c>
      <c r="AP15" s="492">
        <f>L15+AB15</f>
        <v>1179969</v>
      </c>
      <c r="AQ15" s="492">
        <f>M15+AC15</f>
        <v>34410</v>
      </c>
      <c r="AR15" s="492">
        <f t="shared" ref="AR15:AR16" si="10">N15+AD15</f>
        <v>0</v>
      </c>
      <c r="AS15" s="491">
        <f t="shared" ref="AS15:AS16" si="11">O15+AL15</f>
        <v>6</v>
      </c>
    </row>
    <row r="16" spans="1:45" ht="13.5" customHeight="1" x14ac:dyDescent="0.2">
      <c r="A16" s="136">
        <v>2</v>
      </c>
      <c r="B16" s="137">
        <v>3449</v>
      </c>
      <c r="C16" s="137">
        <v>600078116</v>
      </c>
      <c r="D16" s="137">
        <v>70695016</v>
      </c>
      <c r="E16" s="135" t="s">
        <v>115</v>
      </c>
      <c r="F16" s="137">
        <v>3111</v>
      </c>
      <c r="G16" s="138" t="s">
        <v>278</v>
      </c>
      <c r="H16" s="558" t="s">
        <v>263</v>
      </c>
      <c r="I16" s="580">
        <v>1069900</v>
      </c>
      <c r="J16" s="490">
        <v>793694</v>
      </c>
      <c r="K16" s="490">
        <v>0</v>
      </c>
      <c r="L16" s="55">
        <v>268269</v>
      </c>
      <c r="M16" s="55">
        <v>7937</v>
      </c>
      <c r="N16" s="55">
        <v>0</v>
      </c>
      <c r="O16" s="614">
        <v>2</v>
      </c>
      <c r="P16" s="440">
        <f>W16*-1</f>
        <v>0</v>
      </c>
      <c r="Q16" s="325">
        <v>0</v>
      </c>
      <c r="R16" s="325">
        <v>0</v>
      </c>
      <c r="S16" s="325">
        <v>0</v>
      </c>
      <c r="T16" s="325">
        <v>0</v>
      </c>
      <c r="U16" s="325">
        <v>0</v>
      </c>
      <c r="V16" s="492">
        <f t="shared" si="2"/>
        <v>0</v>
      </c>
      <c r="W16" s="325">
        <v>0</v>
      </c>
      <c r="X16" s="325">
        <v>0</v>
      </c>
      <c r="Y16" s="325">
        <v>0</v>
      </c>
      <c r="Z16" s="492">
        <f t="shared" si="3"/>
        <v>0</v>
      </c>
      <c r="AA16" s="492">
        <f t="shared" si="4"/>
        <v>0</v>
      </c>
      <c r="AB16" s="494">
        <f t="shared" si="5"/>
        <v>0</v>
      </c>
      <c r="AC16" s="494">
        <f t="shared" si="6"/>
        <v>0</v>
      </c>
      <c r="AD16" s="492">
        <v>0</v>
      </c>
      <c r="AE16" s="492">
        <f t="shared" si="7"/>
        <v>0</v>
      </c>
      <c r="AF16" s="326">
        <v>0</v>
      </c>
      <c r="AG16" s="326">
        <v>0</v>
      </c>
      <c r="AH16" s="326">
        <v>0</v>
      </c>
      <c r="AI16" s="326">
        <v>0</v>
      </c>
      <c r="AJ16" s="326">
        <v>0</v>
      </c>
      <c r="AK16" s="326">
        <v>0</v>
      </c>
      <c r="AL16" s="491">
        <f t="shared" si="8"/>
        <v>0</v>
      </c>
      <c r="AM16" s="492">
        <f>I16+AE16</f>
        <v>1069900</v>
      </c>
      <c r="AN16" s="492">
        <f>J16+V16</f>
        <v>793694</v>
      </c>
      <c r="AO16" s="573">
        <f t="shared" si="9"/>
        <v>0</v>
      </c>
      <c r="AP16" s="492">
        <f>L16+AB16</f>
        <v>268269</v>
      </c>
      <c r="AQ16" s="492">
        <f>M16+AC16</f>
        <v>7937</v>
      </c>
      <c r="AR16" s="492">
        <f t="shared" si="10"/>
        <v>0</v>
      </c>
      <c r="AS16" s="491">
        <f t="shared" si="11"/>
        <v>2</v>
      </c>
    </row>
    <row r="17" spans="1:45" ht="13.5" customHeight="1" x14ac:dyDescent="0.2">
      <c r="A17" s="107">
        <v>2</v>
      </c>
      <c r="B17" s="15">
        <v>3449</v>
      </c>
      <c r="C17" s="15">
        <v>600078116</v>
      </c>
      <c r="D17" s="15">
        <v>70695016</v>
      </c>
      <c r="E17" s="116" t="s">
        <v>116</v>
      </c>
      <c r="F17" s="15"/>
      <c r="G17" s="106"/>
      <c r="H17" s="555"/>
      <c r="I17" s="758">
        <v>5775512</v>
      </c>
      <c r="J17" s="343">
        <v>4254727</v>
      </c>
      <c r="K17" s="343">
        <v>30000</v>
      </c>
      <c r="L17" s="343">
        <v>1448238</v>
      </c>
      <c r="M17" s="343">
        <v>42547</v>
      </c>
      <c r="N17" s="343">
        <v>0</v>
      </c>
      <c r="O17" s="35">
        <v>8</v>
      </c>
      <c r="P17" s="346">
        <f t="shared" ref="P17:AS17" si="12">SUM(P15:P16)</f>
        <v>-20000</v>
      </c>
      <c r="Q17" s="343">
        <f t="shared" si="12"/>
        <v>0</v>
      </c>
      <c r="R17" s="343">
        <f t="shared" si="12"/>
        <v>0</v>
      </c>
      <c r="S17" s="343">
        <f t="shared" si="12"/>
        <v>0</v>
      </c>
      <c r="T17" s="343">
        <f t="shared" si="12"/>
        <v>0</v>
      </c>
      <c r="U17" s="343">
        <f t="shared" si="12"/>
        <v>0</v>
      </c>
      <c r="V17" s="343">
        <f t="shared" si="12"/>
        <v>-20000</v>
      </c>
      <c r="W17" s="343">
        <f t="shared" si="12"/>
        <v>20000</v>
      </c>
      <c r="X17" s="343">
        <f t="shared" si="12"/>
        <v>0</v>
      </c>
      <c r="Y17" s="343">
        <f t="shared" si="12"/>
        <v>0</v>
      </c>
      <c r="Z17" s="343">
        <f t="shared" si="12"/>
        <v>20000</v>
      </c>
      <c r="AA17" s="343">
        <f t="shared" si="12"/>
        <v>0</v>
      </c>
      <c r="AB17" s="343">
        <f t="shared" si="12"/>
        <v>0</v>
      </c>
      <c r="AC17" s="343">
        <f t="shared" si="12"/>
        <v>-200</v>
      </c>
      <c r="AD17" s="343">
        <f t="shared" si="12"/>
        <v>0</v>
      </c>
      <c r="AE17" s="343">
        <f t="shared" si="12"/>
        <v>-200</v>
      </c>
      <c r="AF17" s="344">
        <f t="shared" si="12"/>
        <v>0</v>
      </c>
      <c r="AG17" s="344">
        <f t="shared" si="12"/>
        <v>0</v>
      </c>
      <c r="AH17" s="344">
        <f t="shared" si="12"/>
        <v>0</v>
      </c>
      <c r="AI17" s="344">
        <f t="shared" si="12"/>
        <v>0</v>
      </c>
      <c r="AJ17" s="344">
        <f t="shared" si="12"/>
        <v>0</v>
      </c>
      <c r="AK17" s="344">
        <f t="shared" si="12"/>
        <v>0</v>
      </c>
      <c r="AL17" s="35">
        <f t="shared" si="12"/>
        <v>0</v>
      </c>
      <c r="AM17" s="346">
        <f t="shared" si="12"/>
        <v>5775312</v>
      </c>
      <c r="AN17" s="343">
        <f t="shared" si="12"/>
        <v>4234727</v>
      </c>
      <c r="AO17" s="343">
        <f t="shared" si="12"/>
        <v>50000</v>
      </c>
      <c r="AP17" s="343">
        <f t="shared" si="12"/>
        <v>1448238</v>
      </c>
      <c r="AQ17" s="343">
        <f t="shared" si="12"/>
        <v>42347</v>
      </c>
      <c r="AR17" s="343">
        <f t="shared" si="12"/>
        <v>0</v>
      </c>
      <c r="AS17" s="344">
        <f t="shared" si="12"/>
        <v>8</v>
      </c>
    </row>
    <row r="18" spans="1:45" ht="13.5" customHeight="1" x14ac:dyDescent="0.2">
      <c r="A18" s="136">
        <v>3</v>
      </c>
      <c r="B18" s="137">
        <v>3451</v>
      </c>
      <c r="C18" s="137">
        <v>600078621</v>
      </c>
      <c r="D18" s="137">
        <v>70694991</v>
      </c>
      <c r="E18" s="135" t="s">
        <v>117</v>
      </c>
      <c r="F18" s="137">
        <v>3111</v>
      </c>
      <c r="G18" s="138" t="s">
        <v>277</v>
      </c>
      <c r="H18" s="558" t="s">
        <v>262</v>
      </c>
      <c r="I18" s="580">
        <v>4918686</v>
      </c>
      <c r="J18" s="490">
        <v>3648877</v>
      </c>
      <c r="K18" s="490">
        <v>0</v>
      </c>
      <c r="L18" s="55">
        <v>1233320</v>
      </c>
      <c r="M18" s="55">
        <v>36489</v>
      </c>
      <c r="N18" s="55">
        <v>0</v>
      </c>
      <c r="O18" s="614">
        <v>6</v>
      </c>
      <c r="P18" s="445">
        <f>W18*-1</f>
        <v>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 t="shared" ref="V18:V19" si="13">P18+Q18+R18+S18+T18+U18</f>
        <v>0</v>
      </c>
      <c r="W18" s="325">
        <v>0</v>
      </c>
      <c r="X18" s="325">
        <v>0</v>
      </c>
      <c r="Y18" s="325">
        <v>0</v>
      </c>
      <c r="Z18" s="492">
        <f t="shared" ref="Z18:Z19" si="14">W18+X18+Y18</f>
        <v>0</v>
      </c>
      <c r="AA18" s="492">
        <f t="shared" ref="AA18:AA19" si="15">V18+Z18</f>
        <v>0</v>
      </c>
      <c r="AB18" s="494">
        <f t="shared" ref="AB18:AB19" si="16">ROUND((V18+Z18)*33.8%,0)</f>
        <v>0</v>
      </c>
      <c r="AC18" s="494">
        <f t="shared" ref="AC18:AC19" si="17">ROUND(V18*1%,0)</f>
        <v>0</v>
      </c>
      <c r="AD18" s="492">
        <v>0</v>
      </c>
      <c r="AE18" s="492">
        <f t="shared" ref="AE18:AE19" si="18">AA18+AB18+AC18+AD18</f>
        <v>0</v>
      </c>
      <c r="AF18" s="326">
        <v>0</v>
      </c>
      <c r="AG18" s="326">
        <v>0</v>
      </c>
      <c r="AH18" s="326">
        <v>0</v>
      </c>
      <c r="AI18" s="326">
        <v>0</v>
      </c>
      <c r="AJ18" s="326">
        <v>0</v>
      </c>
      <c r="AK18" s="326">
        <v>0</v>
      </c>
      <c r="AL18" s="491">
        <f t="shared" ref="AL18:AL19" si="19">SUM(AF18:AK18)</f>
        <v>0</v>
      </c>
      <c r="AM18" s="492">
        <f>I18+AE18</f>
        <v>4918686</v>
      </c>
      <c r="AN18" s="492">
        <f>J18+V18</f>
        <v>3648877</v>
      </c>
      <c r="AO18" s="573">
        <f t="shared" ref="AO18:AO19" si="20">K18+Z18</f>
        <v>0</v>
      </c>
      <c r="AP18" s="492">
        <f>L18+AB18</f>
        <v>1233320</v>
      </c>
      <c r="AQ18" s="492">
        <f>M18+AC18</f>
        <v>36489</v>
      </c>
      <c r="AR18" s="492">
        <f t="shared" ref="AR18:AR19" si="21">N18+AD18</f>
        <v>0</v>
      </c>
      <c r="AS18" s="491">
        <f t="shared" ref="AS18:AS19" si="22">O18+AL18</f>
        <v>6</v>
      </c>
    </row>
    <row r="19" spans="1:45" ht="13.5" customHeight="1" x14ac:dyDescent="0.2">
      <c r="A19" s="136">
        <v>3</v>
      </c>
      <c r="B19" s="137">
        <v>3451</v>
      </c>
      <c r="C19" s="137">
        <v>600078621</v>
      </c>
      <c r="D19" s="137">
        <v>70694991</v>
      </c>
      <c r="E19" s="135" t="s">
        <v>117</v>
      </c>
      <c r="F19" s="137">
        <v>3111</v>
      </c>
      <c r="G19" s="138" t="s">
        <v>278</v>
      </c>
      <c r="H19" s="558" t="s">
        <v>263</v>
      </c>
      <c r="I19" s="580">
        <v>1069900</v>
      </c>
      <c r="J19" s="490">
        <v>793694</v>
      </c>
      <c r="K19" s="490">
        <v>0</v>
      </c>
      <c r="L19" s="55">
        <v>268269</v>
      </c>
      <c r="M19" s="55">
        <v>7937</v>
      </c>
      <c r="N19" s="55">
        <v>0</v>
      </c>
      <c r="O19" s="614">
        <v>2</v>
      </c>
      <c r="P19" s="440">
        <f>W19*-1</f>
        <v>0</v>
      </c>
      <c r="Q19" s="325">
        <v>0</v>
      </c>
      <c r="R19" s="325">
        <v>0</v>
      </c>
      <c r="S19" s="325">
        <v>0</v>
      </c>
      <c r="T19" s="325">
        <v>0</v>
      </c>
      <c r="U19" s="325">
        <v>0</v>
      </c>
      <c r="V19" s="492">
        <f t="shared" si="13"/>
        <v>0</v>
      </c>
      <c r="W19" s="325">
        <v>0</v>
      </c>
      <c r="X19" s="325">
        <v>0</v>
      </c>
      <c r="Y19" s="325">
        <v>0</v>
      </c>
      <c r="Z19" s="492">
        <f t="shared" si="14"/>
        <v>0</v>
      </c>
      <c r="AA19" s="492">
        <f t="shared" si="15"/>
        <v>0</v>
      </c>
      <c r="AB19" s="494">
        <f t="shared" si="16"/>
        <v>0</v>
      </c>
      <c r="AC19" s="494">
        <f t="shared" si="17"/>
        <v>0</v>
      </c>
      <c r="AD19" s="492">
        <v>0</v>
      </c>
      <c r="AE19" s="492">
        <f t="shared" si="18"/>
        <v>0</v>
      </c>
      <c r="AF19" s="326">
        <v>0</v>
      </c>
      <c r="AG19" s="326">
        <v>0</v>
      </c>
      <c r="AH19" s="326">
        <v>0</v>
      </c>
      <c r="AI19" s="326">
        <v>0</v>
      </c>
      <c r="AJ19" s="326">
        <v>0</v>
      </c>
      <c r="AK19" s="326">
        <v>0</v>
      </c>
      <c r="AL19" s="491">
        <f t="shared" si="19"/>
        <v>0</v>
      </c>
      <c r="AM19" s="492">
        <f>I19+AE19</f>
        <v>1069900</v>
      </c>
      <c r="AN19" s="492">
        <f>J19+V19</f>
        <v>793694</v>
      </c>
      <c r="AO19" s="573">
        <f t="shared" si="20"/>
        <v>0</v>
      </c>
      <c r="AP19" s="492">
        <f>L19+AB19</f>
        <v>268269</v>
      </c>
      <c r="AQ19" s="492">
        <f>M19+AC19</f>
        <v>7937</v>
      </c>
      <c r="AR19" s="492">
        <f t="shared" si="21"/>
        <v>0</v>
      </c>
      <c r="AS19" s="491">
        <f t="shared" si="22"/>
        <v>2</v>
      </c>
    </row>
    <row r="20" spans="1:45" ht="13.5" customHeight="1" x14ac:dyDescent="0.2">
      <c r="A20" s="107">
        <v>3</v>
      </c>
      <c r="B20" s="15">
        <v>3451</v>
      </c>
      <c r="C20" s="15">
        <v>600078621</v>
      </c>
      <c r="D20" s="15">
        <v>70694991</v>
      </c>
      <c r="E20" s="116" t="s">
        <v>118</v>
      </c>
      <c r="F20" s="15"/>
      <c r="G20" s="106"/>
      <c r="H20" s="555"/>
      <c r="I20" s="758">
        <v>5988586</v>
      </c>
      <c r="J20" s="343">
        <v>4442571</v>
      </c>
      <c r="K20" s="343">
        <v>0</v>
      </c>
      <c r="L20" s="343">
        <v>1501589</v>
      </c>
      <c r="M20" s="343">
        <v>44426</v>
      </c>
      <c r="N20" s="343">
        <v>0</v>
      </c>
      <c r="O20" s="35">
        <v>8</v>
      </c>
      <c r="P20" s="346">
        <f t="shared" ref="P20:AS20" si="23">SUM(P18:P19)</f>
        <v>0</v>
      </c>
      <c r="Q20" s="343">
        <f t="shared" si="23"/>
        <v>0</v>
      </c>
      <c r="R20" s="343">
        <f t="shared" si="23"/>
        <v>0</v>
      </c>
      <c r="S20" s="343">
        <f t="shared" si="23"/>
        <v>0</v>
      </c>
      <c r="T20" s="343">
        <f t="shared" si="23"/>
        <v>0</v>
      </c>
      <c r="U20" s="343">
        <f t="shared" si="23"/>
        <v>0</v>
      </c>
      <c r="V20" s="343">
        <f t="shared" si="23"/>
        <v>0</v>
      </c>
      <c r="W20" s="343">
        <f t="shared" si="23"/>
        <v>0</v>
      </c>
      <c r="X20" s="343">
        <f t="shared" si="23"/>
        <v>0</v>
      </c>
      <c r="Y20" s="343">
        <f t="shared" si="23"/>
        <v>0</v>
      </c>
      <c r="Z20" s="343">
        <f t="shared" si="23"/>
        <v>0</v>
      </c>
      <c r="AA20" s="343">
        <f t="shared" si="23"/>
        <v>0</v>
      </c>
      <c r="AB20" s="343">
        <f t="shared" si="23"/>
        <v>0</v>
      </c>
      <c r="AC20" s="343">
        <f t="shared" si="23"/>
        <v>0</v>
      </c>
      <c r="AD20" s="343">
        <f t="shared" si="23"/>
        <v>0</v>
      </c>
      <c r="AE20" s="343">
        <f t="shared" si="23"/>
        <v>0</v>
      </c>
      <c r="AF20" s="344">
        <f t="shared" si="23"/>
        <v>0</v>
      </c>
      <c r="AG20" s="344">
        <f t="shared" si="23"/>
        <v>0</v>
      </c>
      <c r="AH20" s="344">
        <f t="shared" si="23"/>
        <v>0</v>
      </c>
      <c r="AI20" s="344">
        <f t="shared" si="23"/>
        <v>0</v>
      </c>
      <c r="AJ20" s="344">
        <f t="shared" si="23"/>
        <v>0</v>
      </c>
      <c r="AK20" s="344">
        <f t="shared" si="23"/>
        <v>0</v>
      </c>
      <c r="AL20" s="35">
        <f t="shared" si="23"/>
        <v>0</v>
      </c>
      <c r="AM20" s="346">
        <f t="shared" si="23"/>
        <v>5988586</v>
      </c>
      <c r="AN20" s="343">
        <f t="shared" si="23"/>
        <v>4442571</v>
      </c>
      <c r="AO20" s="343">
        <f t="shared" si="23"/>
        <v>0</v>
      </c>
      <c r="AP20" s="343">
        <f t="shared" si="23"/>
        <v>1501589</v>
      </c>
      <c r="AQ20" s="343">
        <f t="shared" si="23"/>
        <v>44426</v>
      </c>
      <c r="AR20" s="343">
        <f t="shared" si="23"/>
        <v>0</v>
      </c>
      <c r="AS20" s="344">
        <f t="shared" si="23"/>
        <v>8</v>
      </c>
    </row>
    <row r="21" spans="1:45" ht="13.5" customHeight="1" x14ac:dyDescent="0.2">
      <c r="A21" s="136">
        <v>4</v>
      </c>
      <c r="B21" s="137">
        <v>3456</v>
      </c>
      <c r="C21" s="137">
        <v>600029051</v>
      </c>
      <c r="D21" s="137">
        <v>75125439</v>
      </c>
      <c r="E21" s="135" t="s">
        <v>119</v>
      </c>
      <c r="F21" s="137">
        <v>3233</v>
      </c>
      <c r="G21" s="138" t="s">
        <v>283</v>
      </c>
      <c r="H21" s="558" t="s">
        <v>263</v>
      </c>
      <c r="I21" s="580">
        <v>2379892</v>
      </c>
      <c r="J21" s="490">
        <v>1658300</v>
      </c>
      <c r="K21" s="490">
        <v>108000</v>
      </c>
      <c r="L21" s="55">
        <v>597009</v>
      </c>
      <c r="M21" s="55">
        <v>16583</v>
      </c>
      <c r="N21" s="55">
        <v>0</v>
      </c>
      <c r="O21" s="614">
        <v>2.77</v>
      </c>
      <c r="P21" s="445">
        <f>W21*-1</f>
        <v>-72000</v>
      </c>
      <c r="Q21" s="325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>P21+Q21+R21+S21+T21+U21</f>
        <v>-72000</v>
      </c>
      <c r="W21" s="325">
        <v>72000</v>
      </c>
      <c r="X21" s="325">
        <v>0</v>
      </c>
      <c r="Y21" s="325">
        <v>0</v>
      </c>
      <c r="Z21" s="492">
        <f>W21+X21+Y21</f>
        <v>72000</v>
      </c>
      <c r="AA21" s="492">
        <f>V21+Z21</f>
        <v>0</v>
      </c>
      <c r="AB21" s="494">
        <f>ROUND((V21+Z21)*33.8%,0)</f>
        <v>0</v>
      </c>
      <c r="AC21" s="494">
        <f>ROUND(V21*1%,0)</f>
        <v>-720</v>
      </c>
      <c r="AD21" s="492">
        <v>0</v>
      </c>
      <c r="AE21" s="492">
        <f>AA21+AB21+AC21+AD21</f>
        <v>-720</v>
      </c>
      <c r="AF21" s="326">
        <v>-0.12</v>
      </c>
      <c r="AG21" s="326">
        <v>0</v>
      </c>
      <c r="AH21" s="326">
        <v>0</v>
      </c>
      <c r="AI21" s="326">
        <v>0</v>
      </c>
      <c r="AJ21" s="326">
        <v>0</v>
      </c>
      <c r="AK21" s="326">
        <v>0</v>
      </c>
      <c r="AL21" s="491">
        <f>SUM(AF21:AK21)</f>
        <v>-0.12</v>
      </c>
      <c r="AM21" s="492">
        <f>I21+AE21</f>
        <v>2379172</v>
      </c>
      <c r="AN21" s="492">
        <f>J21+V21</f>
        <v>1586300</v>
      </c>
      <c r="AO21" s="573">
        <f>K21+Z21</f>
        <v>180000</v>
      </c>
      <c r="AP21" s="492">
        <f>L21+AB21</f>
        <v>597009</v>
      </c>
      <c r="AQ21" s="492">
        <f>M21+AC21</f>
        <v>15863</v>
      </c>
      <c r="AR21" s="492">
        <f>N21+AD21</f>
        <v>0</v>
      </c>
      <c r="AS21" s="491">
        <f>O21+AL21</f>
        <v>2.65</v>
      </c>
    </row>
    <row r="22" spans="1:45" ht="13.5" customHeight="1" x14ac:dyDescent="0.2">
      <c r="A22" s="107">
        <v>4</v>
      </c>
      <c r="B22" s="15">
        <v>3456</v>
      </c>
      <c r="C22" s="15">
        <v>600029051</v>
      </c>
      <c r="D22" s="15">
        <v>75125439</v>
      </c>
      <c r="E22" s="116" t="s">
        <v>120</v>
      </c>
      <c r="F22" s="15"/>
      <c r="G22" s="106"/>
      <c r="H22" s="555"/>
      <c r="I22" s="758">
        <v>2379892</v>
      </c>
      <c r="J22" s="343">
        <v>1658300</v>
      </c>
      <c r="K22" s="343">
        <v>108000</v>
      </c>
      <c r="L22" s="343">
        <v>597009</v>
      </c>
      <c r="M22" s="343">
        <v>16583</v>
      </c>
      <c r="N22" s="343">
        <v>0</v>
      </c>
      <c r="O22" s="35">
        <v>2.77</v>
      </c>
      <c r="P22" s="346">
        <f t="shared" ref="P22:AS22" si="24">SUM(P21)</f>
        <v>-72000</v>
      </c>
      <c r="Q22" s="343">
        <f t="shared" si="24"/>
        <v>0</v>
      </c>
      <c r="R22" s="343">
        <f t="shared" si="24"/>
        <v>0</v>
      </c>
      <c r="S22" s="343">
        <f t="shared" si="24"/>
        <v>0</v>
      </c>
      <c r="T22" s="343">
        <f t="shared" si="24"/>
        <v>0</v>
      </c>
      <c r="U22" s="343">
        <f t="shared" si="24"/>
        <v>0</v>
      </c>
      <c r="V22" s="343">
        <f t="shared" si="24"/>
        <v>-72000</v>
      </c>
      <c r="W22" s="343">
        <f t="shared" si="24"/>
        <v>72000</v>
      </c>
      <c r="X22" s="343">
        <f t="shared" si="24"/>
        <v>0</v>
      </c>
      <c r="Y22" s="343">
        <f t="shared" si="24"/>
        <v>0</v>
      </c>
      <c r="Z22" s="343">
        <f t="shared" si="24"/>
        <v>72000</v>
      </c>
      <c r="AA22" s="343">
        <f t="shared" si="24"/>
        <v>0</v>
      </c>
      <c r="AB22" s="343">
        <f t="shared" si="24"/>
        <v>0</v>
      </c>
      <c r="AC22" s="343">
        <f t="shared" si="24"/>
        <v>-720</v>
      </c>
      <c r="AD22" s="343">
        <f t="shared" si="24"/>
        <v>0</v>
      </c>
      <c r="AE22" s="343">
        <f t="shared" si="24"/>
        <v>-720</v>
      </c>
      <c r="AF22" s="344">
        <f t="shared" si="24"/>
        <v>-0.12</v>
      </c>
      <c r="AG22" s="344">
        <f t="shared" si="24"/>
        <v>0</v>
      </c>
      <c r="AH22" s="344">
        <f t="shared" si="24"/>
        <v>0</v>
      </c>
      <c r="AI22" s="344">
        <f t="shared" si="24"/>
        <v>0</v>
      </c>
      <c r="AJ22" s="344">
        <f t="shared" si="24"/>
        <v>0</v>
      </c>
      <c r="AK22" s="344">
        <f t="shared" si="24"/>
        <v>0</v>
      </c>
      <c r="AL22" s="35">
        <f t="shared" si="24"/>
        <v>-0.12</v>
      </c>
      <c r="AM22" s="346">
        <f t="shared" si="24"/>
        <v>2379172</v>
      </c>
      <c r="AN22" s="343">
        <f t="shared" si="24"/>
        <v>1586300</v>
      </c>
      <c r="AO22" s="343">
        <f t="shared" si="24"/>
        <v>180000</v>
      </c>
      <c r="AP22" s="343">
        <f t="shared" si="24"/>
        <v>597009</v>
      </c>
      <c r="AQ22" s="343">
        <f t="shared" si="24"/>
        <v>15863</v>
      </c>
      <c r="AR22" s="343">
        <f t="shared" si="24"/>
        <v>0</v>
      </c>
      <c r="AS22" s="344">
        <f t="shared" si="24"/>
        <v>2.65</v>
      </c>
    </row>
    <row r="23" spans="1:45" ht="13.5" customHeight="1" x14ac:dyDescent="0.2">
      <c r="A23" s="136">
        <v>5</v>
      </c>
      <c r="B23" s="137">
        <v>3447</v>
      </c>
      <c r="C23" s="137">
        <v>600078531</v>
      </c>
      <c r="D23" s="137">
        <v>70694982</v>
      </c>
      <c r="E23" s="135" t="s">
        <v>121</v>
      </c>
      <c r="F23" s="137">
        <v>3113</v>
      </c>
      <c r="G23" s="138" t="s">
        <v>280</v>
      </c>
      <c r="H23" s="558" t="s">
        <v>262</v>
      </c>
      <c r="I23" s="580">
        <v>18455403</v>
      </c>
      <c r="J23" s="490">
        <v>13690952</v>
      </c>
      <c r="K23" s="490">
        <v>0</v>
      </c>
      <c r="L23" s="55">
        <v>4627542</v>
      </c>
      <c r="M23" s="55">
        <v>136909</v>
      </c>
      <c r="N23" s="55">
        <v>0</v>
      </c>
      <c r="O23" s="614">
        <v>18.329999999999998</v>
      </c>
      <c r="P23" s="445">
        <f>W23*-1</f>
        <v>0</v>
      </c>
      <c r="Q23" s="325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 t="shared" ref="V23:V26" si="25">P23+Q23+R23+S23+T23+U23</f>
        <v>0</v>
      </c>
      <c r="W23" s="325">
        <v>0</v>
      </c>
      <c r="X23" s="325">
        <v>0</v>
      </c>
      <c r="Y23" s="325">
        <v>0</v>
      </c>
      <c r="Z23" s="492">
        <f t="shared" ref="Z23:Z26" si="26">W23+X23+Y23</f>
        <v>0</v>
      </c>
      <c r="AA23" s="492">
        <f t="shared" ref="AA23:AA26" si="27">V23+Z23</f>
        <v>0</v>
      </c>
      <c r="AB23" s="494">
        <f t="shared" ref="AB23:AB26" si="28">ROUND((V23+Z23)*33.8%,0)</f>
        <v>0</v>
      </c>
      <c r="AC23" s="494">
        <f t="shared" ref="AC23:AC26" si="29">ROUND(V23*1%,0)</f>
        <v>0</v>
      </c>
      <c r="AD23" s="492">
        <v>0</v>
      </c>
      <c r="AE23" s="492">
        <f t="shared" ref="AE23:AE26" si="30">AA23+AB23+AC23+AD23</f>
        <v>0</v>
      </c>
      <c r="AF23" s="326">
        <v>0</v>
      </c>
      <c r="AG23" s="326">
        <v>0</v>
      </c>
      <c r="AH23" s="326">
        <v>0</v>
      </c>
      <c r="AI23" s="326">
        <v>0</v>
      </c>
      <c r="AJ23" s="326">
        <v>0</v>
      </c>
      <c r="AK23" s="326">
        <v>0</v>
      </c>
      <c r="AL23" s="491">
        <f t="shared" ref="AL23:AL26" si="31">SUM(AF23:AK23)</f>
        <v>0</v>
      </c>
      <c r="AM23" s="492">
        <f>I23+AE23</f>
        <v>18455403</v>
      </c>
      <c r="AN23" s="492">
        <f>J23+V23</f>
        <v>13690952</v>
      </c>
      <c r="AO23" s="573">
        <f t="shared" ref="AO23:AO26" si="32">K23+Z23</f>
        <v>0</v>
      </c>
      <c r="AP23" s="492">
        <f t="shared" ref="AP23:AR26" si="33">L23+AB23</f>
        <v>4627542</v>
      </c>
      <c r="AQ23" s="492">
        <f t="shared" si="33"/>
        <v>136909</v>
      </c>
      <c r="AR23" s="492">
        <f t="shared" si="33"/>
        <v>0</v>
      </c>
      <c r="AS23" s="491">
        <f t="shared" ref="AS23:AS26" si="34">O23+AL23</f>
        <v>18.329999999999998</v>
      </c>
    </row>
    <row r="24" spans="1:45" ht="13.5" customHeight="1" x14ac:dyDescent="0.2">
      <c r="A24" s="136">
        <v>5</v>
      </c>
      <c r="B24" s="137">
        <v>3447</v>
      </c>
      <c r="C24" s="137">
        <v>600078531</v>
      </c>
      <c r="D24" s="137">
        <v>70694982</v>
      </c>
      <c r="E24" s="135" t="s">
        <v>121</v>
      </c>
      <c r="F24" s="137">
        <v>3113</v>
      </c>
      <c r="G24" s="138" t="s">
        <v>279</v>
      </c>
      <c r="H24" s="558" t="s">
        <v>262</v>
      </c>
      <c r="I24" s="580">
        <v>850564</v>
      </c>
      <c r="J24" s="490">
        <v>630982</v>
      </c>
      <c r="K24" s="490">
        <v>0</v>
      </c>
      <c r="L24" s="55">
        <v>213272</v>
      </c>
      <c r="M24" s="55">
        <v>6310</v>
      </c>
      <c r="N24" s="55">
        <v>0</v>
      </c>
      <c r="O24" s="614">
        <v>1.39</v>
      </c>
      <c r="P24" s="440">
        <f>W24*-1</f>
        <v>0</v>
      </c>
      <c r="Q24" s="325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 t="shared" si="25"/>
        <v>0</v>
      </c>
      <c r="W24" s="325">
        <v>0</v>
      </c>
      <c r="X24" s="325">
        <v>0</v>
      </c>
      <c r="Y24" s="325">
        <v>0</v>
      </c>
      <c r="Z24" s="492">
        <f t="shared" si="26"/>
        <v>0</v>
      </c>
      <c r="AA24" s="492">
        <f t="shared" si="27"/>
        <v>0</v>
      </c>
      <c r="AB24" s="494">
        <f t="shared" si="28"/>
        <v>0</v>
      </c>
      <c r="AC24" s="494">
        <f t="shared" si="29"/>
        <v>0</v>
      </c>
      <c r="AD24" s="492">
        <v>0</v>
      </c>
      <c r="AE24" s="492">
        <f t="shared" si="30"/>
        <v>0</v>
      </c>
      <c r="AF24" s="326">
        <v>0</v>
      </c>
      <c r="AG24" s="326">
        <v>0</v>
      </c>
      <c r="AH24" s="326">
        <v>0</v>
      </c>
      <c r="AI24" s="326">
        <v>0</v>
      </c>
      <c r="AJ24" s="326">
        <v>0</v>
      </c>
      <c r="AK24" s="326">
        <v>0</v>
      </c>
      <c r="AL24" s="491">
        <f t="shared" si="31"/>
        <v>0</v>
      </c>
      <c r="AM24" s="492">
        <f>I24+AE24</f>
        <v>850564</v>
      </c>
      <c r="AN24" s="492">
        <f>J24+V24</f>
        <v>630982</v>
      </c>
      <c r="AO24" s="573">
        <f t="shared" si="32"/>
        <v>0</v>
      </c>
      <c r="AP24" s="492">
        <f t="shared" si="33"/>
        <v>213272</v>
      </c>
      <c r="AQ24" s="492">
        <f t="shared" si="33"/>
        <v>6310</v>
      </c>
      <c r="AR24" s="492">
        <f t="shared" si="33"/>
        <v>0</v>
      </c>
      <c r="AS24" s="491">
        <f t="shared" si="34"/>
        <v>1.39</v>
      </c>
    </row>
    <row r="25" spans="1:45" ht="13.5" customHeight="1" x14ac:dyDescent="0.2">
      <c r="A25" s="136">
        <v>5</v>
      </c>
      <c r="B25" s="137">
        <v>3447</v>
      </c>
      <c r="C25" s="137">
        <v>600078531</v>
      </c>
      <c r="D25" s="137">
        <v>70694982</v>
      </c>
      <c r="E25" s="135" t="s">
        <v>121</v>
      </c>
      <c r="F25" s="137">
        <v>3113</v>
      </c>
      <c r="G25" s="138" t="s">
        <v>284</v>
      </c>
      <c r="H25" s="558" t="s">
        <v>263</v>
      </c>
      <c r="I25" s="580">
        <v>2437530</v>
      </c>
      <c r="J25" s="490">
        <v>1808256</v>
      </c>
      <c r="K25" s="490">
        <v>0</v>
      </c>
      <c r="L25" s="55">
        <v>611191</v>
      </c>
      <c r="M25" s="55">
        <v>18083</v>
      </c>
      <c r="N25" s="55">
        <v>0</v>
      </c>
      <c r="O25" s="614">
        <v>4.37</v>
      </c>
      <c r="P25" s="440">
        <f>W25*-1</f>
        <v>0</v>
      </c>
      <c r="Q25" s="325">
        <v>-22075</v>
      </c>
      <c r="R25" s="325">
        <v>0</v>
      </c>
      <c r="S25" s="325">
        <v>0</v>
      </c>
      <c r="T25" s="325">
        <v>0</v>
      </c>
      <c r="U25" s="325">
        <v>0</v>
      </c>
      <c r="V25" s="492">
        <f t="shared" si="25"/>
        <v>-22075</v>
      </c>
      <c r="W25" s="325">
        <v>0</v>
      </c>
      <c r="X25" s="325">
        <v>0</v>
      </c>
      <c r="Y25" s="325">
        <v>0</v>
      </c>
      <c r="Z25" s="492">
        <f t="shared" si="26"/>
        <v>0</v>
      </c>
      <c r="AA25" s="492">
        <f t="shared" si="27"/>
        <v>-22075</v>
      </c>
      <c r="AB25" s="494">
        <f t="shared" si="28"/>
        <v>-7461</v>
      </c>
      <c r="AC25" s="494">
        <f t="shared" si="29"/>
        <v>-221</v>
      </c>
      <c r="AD25" s="492">
        <v>0</v>
      </c>
      <c r="AE25" s="492">
        <f t="shared" si="30"/>
        <v>-29757</v>
      </c>
      <c r="AF25" s="326">
        <v>0</v>
      </c>
      <c r="AG25" s="326">
        <v>-0.04</v>
      </c>
      <c r="AH25" s="326">
        <v>0</v>
      </c>
      <c r="AI25" s="326">
        <v>0</v>
      </c>
      <c r="AJ25" s="326">
        <v>0</v>
      </c>
      <c r="AK25" s="326">
        <v>0</v>
      </c>
      <c r="AL25" s="491">
        <f t="shared" si="31"/>
        <v>-0.04</v>
      </c>
      <c r="AM25" s="492">
        <f>I25+AE25</f>
        <v>2407773</v>
      </c>
      <c r="AN25" s="492">
        <f>J25+V25</f>
        <v>1786181</v>
      </c>
      <c r="AO25" s="573">
        <f t="shared" si="32"/>
        <v>0</v>
      </c>
      <c r="AP25" s="492">
        <f t="shared" si="33"/>
        <v>603730</v>
      </c>
      <c r="AQ25" s="492">
        <f t="shared" si="33"/>
        <v>17862</v>
      </c>
      <c r="AR25" s="492">
        <f t="shared" si="33"/>
        <v>0</v>
      </c>
      <c r="AS25" s="491">
        <f t="shared" si="34"/>
        <v>4.33</v>
      </c>
    </row>
    <row r="26" spans="1:45" ht="13.5" customHeight="1" x14ac:dyDescent="0.2">
      <c r="A26" s="136">
        <v>5</v>
      </c>
      <c r="B26" s="137">
        <v>3447</v>
      </c>
      <c r="C26" s="137">
        <v>600078531</v>
      </c>
      <c r="D26" s="137">
        <v>70694982</v>
      </c>
      <c r="E26" s="135" t="s">
        <v>121</v>
      </c>
      <c r="F26" s="137">
        <v>3143</v>
      </c>
      <c r="G26" s="138" t="s">
        <v>794</v>
      </c>
      <c r="H26" s="157" t="s">
        <v>262</v>
      </c>
      <c r="I26" s="580">
        <v>2056493</v>
      </c>
      <c r="J26" s="490">
        <v>1516655</v>
      </c>
      <c r="K26" s="490">
        <v>9000</v>
      </c>
      <c r="L26" s="55">
        <v>515671</v>
      </c>
      <c r="M26" s="55">
        <v>15167</v>
      </c>
      <c r="N26" s="55">
        <v>0</v>
      </c>
      <c r="O26" s="614">
        <v>2.96</v>
      </c>
      <c r="P26" s="440">
        <f>W26*-1</f>
        <v>-6000</v>
      </c>
      <c r="Q26" s="325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 t="shared" si="25"/>
        <v>-6000</v>
      </c>
      <c r="W26" s="325">
        <v>6000</v>
      </c>
      <c r="X26" s="325">
        <v>0</v>
      </c>
      <c r="Y26" s="325">
        <v>0</v>
      </c>
      <c r="Z26" s="492">
        <f t="shared" si="26"/>
        <v>6000</v>
      </c>
      <c r="AA26" s="492">
        <f t="shared" si="27"/>
        <v>0</v>
      </c>
      <c r="AB26" s="494">
        <f t="shared" si="28"/>
        <v>0</v>
      </c>
      <c r="AC26" s="494">
        <f t="shared" si="29"/>
        <v>-60</v>
      </c>
      <c r="AD26" s="492">
        <v>0</v>
      </c>
      <c r="AE26" s="492">
        <f t="shared" si="30"/>
        <v>-60</v>
      </c>
      <c r="AF26" s="326">
        <v>0</v>
      </c>
      <c r="AG26" s="326">
        <v>0</v>
      </c>
      <c r="AH26" s="326">
        <v>0</v>
      </c>
      <c r="AI26" s="326">
        <v>0</v>
      </c>
      <c r="AJ26" s="326">
        <v>0</v>
      </c>
      <c r="AK26" s="326">
        <v>0</v>
      </c>
      <c r="AL26" s="491">
        <f t="shared" si="31"/>
        <v>0</v>
      </c>
      <c r="AM26" s="492">
        <f>I26+AE26</f>
        <v>2056433</v>
      </c>
      <c r="AN26" s="492">
        <f>J26+V26</f>
        <v>1510655</v>
      </c>
      <c r="AO26" s="573">
        <f t="shared" si="32"/>
        <v>15000</v>
      </c>
      <c r="AP26" s="492">
        <f t="shared" si="33"/>
        <v>515671</v>
      </c>
      <c r="AQ26" s="492">
        <f t="shared" si="33"/>
        <v>15107</v>
      </c>
      <c r="AR26" s="492">
        <f t="shared" si="33"/>
        <v>0</v>
      </c>
      <c r="AS26" s="491">
        <f t="shared" si="34"/>
        <v>2.96</v>
      </c>
    </row>
    <row r="27" spans="1:45" ht="13.5" customHeight="1" x14ac:dyDescent="0.2">
      <c r="A27" s="107">
        <v>5</v>
      </c>
      <c r="B27" s="15">
        <v>3447</v>
      </c>
      <c r="C27" s="15">
        <v>600078531</v>
      </c>
      <c r="D27" s="15">
        <v>70694982</v>
      </c>
      <c r="E27" s="116" t="s">
        <v>122</v>
      </c>
      <c r="F27" s="15"/>
      <c r="G27" s="106"/>
      <c r="H27" s="555"/>
      <c r="I27" s="758">
        <v>23799990</v>
      </c>
      <c r="J27" s="343">
        <v>17646845</v>
      </c>
      <c r="K27" s="343">
        <v>9000</v>
      </c>
      <c r="L27" s="343">
        <v>5967676</v>
      </c>
      <c r="M27" s="343">
        <v>176469</v>
      </c>
      <c r="N27" s="343">
        <v>0</v>
      </c>
      <c r="O27" s="35">
        <v>27.05</v>
      </c>
      <c r="P27" s="346">
        <f t="shared" ref="P27:AS27" si="35">SUM(P23:P26)</f>
        <v>-6000</v>
      </c>
      <c r="Q27" s="343">
        <f t="shared" si="35"/>
        <v>-22075</v>
      </c>
      <c r="R27" s="343">
        <f t="shared" si="35"/>
        <v>0</v>
      </c>
      <c r="S27" s="343">
        <f t="shared" si="35"/>
        <v>0</v>
      </c>
      <c r="T27" s="343">
        <f t="shared" si="35"/>
        <v>0</v>
      </c>
      <c r="U27" s="343">
        <f t="shared" si="35"/>
        <v>0</v>
      </c>
      <c r="V27" s="343">
        <f t="shared" si="35"/>
        <v>-28075</v>
      </c>
      <c r="W27" s="343">
        <f t="shared" si="35"/>
        <v>6000</v>
      </c>
      <c r="X27" s="343">
        <f t="shared" si="35"/>
        <v>0</v>
      </c>
      <c r="Y27" s="343">
        <f t="shared" si="35"/>
        <v>0</v>
      </c>
      <c r="Z27" s="343">
        <f t="shared" si="35"/>
        <v>6000</v>
      </c>
      <c r="AA27" s="343">
        <f t="shared" si="35"/>
        <v>-22075</v>
      </c>
      <c r="AB27" s="343">
        <f t="shared" si="35"/>
        <v>-7461</v>
      </c>
      <c r="AC27" s="343">
        <f t="shared" si="35"/>
        <v>-281</v>
      </c>
      <c r="AD27" s="343">
        <f t="shared" si="35"/>
        <v>0</v>
      </c>
      <c r="AE27" s="343">
        <f t="shared" si="35"/>
        <v>-29817</v>
      </c>
      <c r="AF27" s="344">
        <f t="shared" si="35"/>
        <v>0</v>
      </c>
      <c r="AG27" s="344">
        <f t="shared" si="35"/>
        <v>-0.04</v>
      </c>
      <c r="AH27" s="344">
        <f t="shared" si="35"/>
        <v>0</v>
      </c>
      <c r="AI27" s="344">
        <f t="shared" si="35"/>
        <v>0</v>
      </c>
      <c r="AJ27" s="344">
        <f t="shared" si="35"/>
        <v>0</v>
      </c>
      <c r="AK27" s="344">
        <f t="shared" si="35"/>
        <v>0</v>
      </c>
      <c r="AL27" s="35">
        <f t="shared" si="35"/>
        <v>-0.04</v>
      </c>
      <c r="AM27" s="346">
        <f t="shared" si="35"/>
        <v>23770173</v>
      </c>
      <c r="AN27" s="343">
        <f t="shared" si="35"/>
        <v>17618770</v>
      </c>
      <c r="AO27" s="343">
        <f t="shared" si="35"/>
        <v>15000</v>
      </c>
      <c r="AP27" s="343">
        <f t="shared" si="35"/>
        <v>5960215</v>
      </c>
      <c r="AQ27" s="343">
        <f t="shared" si="35"/>
        <v>176188</v>
      </c>
      <c r="AR27" s="343">
        <f t="shared" si="35"/>
        <v>0</v>
      </c>
      <c r="AS27" s="344">
        <f t="shared" si="35"/>
        <v>27.009999999999998</v>
      </c>
    </row>
    <row r="28" spans="1:45" ht="13.5" customHeight="1" x14ac:dyDescent="0.2">
      <c r="A28" s="136">
        <v>6</v>
      </c>
      <c r="B28" s="137">
        <v>3446</v>
      </c>
      <c r="C28" s="137">
        <v>600078515</v>
      </c>
      <c r="D28" s="137">
        <v>70694974</v>
      </c>
      <c r="E28" s="135" t="s">
        <v>123</v>
      </c>
      <c r="F28" s="137">
        <v>3113</v>
      </c>
      <c r="G28" s="138" t="s">
        <v>280</v>
      </c>
      <c r="H28" s="558" t="s">
        <v>262</v>
      </c>
      <c r="I28" s="580">
        <v>23976662</v>
      </c>
      <c r="J28" s="490">
        <v>17783863</v>
      </c>
      <c r="K28" s="490">
        <v>3000</v>
      </c>
      <c r="L28" s="55">
        <v>6011960</v>
      </c>
      <c r="M28" s="55">
        <v>177839</v>
      </c>
      <c r="N28" s="55">
        <v>0</v>
      </c>
      <c r="O28" s="614">
        <v>25.14</v>
      </c>
      <c r="P28" s="445">
        <f>W28*-1</f>
        <v>-2000</v>
      </c>
      <c r="Q28" s="325">
        <v>0</v>
      </c>
      <c r="R28" s="325">
        <v>80620</v>
      </c>
      <c r="S28" s="325">
        <v>0</v>
      </c>
      <c r="T28" s="325">
        <v>0</v>
      </c>
      <c r="U28" s="325">
        <v>0</v>
      </c>
      <c r="V28" s="492">
        <f t="shared" ref="V28:V31" si="36">P28+Q28+R28+S28+T28+U28</f>
        <v>78620</v>
      </c>
      <c r="W28" s="325">
        <v>2000</v>
      </c>
      <c r="X28" s="325">
        <v>0</v>
      </c>
      <c r="Y28" s="325">
        <v>0</v>
      </c>
      <c r="Z28" s="492">
        <f t="shared" ref="Z28:Z31" si="37">W28+X28+Y28</f>
        <v>2000</v>
      </c>
      <c r="AA28" s="492">
        <f t="shared" ref="AA28:AA31" si="38">V28+Z28</f>
        <v>80620</v>
      </c>
      <c r="AB28" s="494">
        <f t="shared" ref="AB28:AB31" si="39">ROUND((V28+Z28)*33.8%,0)</f>
        <v>27250</v>
      </c>
      <c r="AC28" s="494">
        <f t="shared" ref="AC28:AC31" si="40">ROUND(V28*1%,0)</f>
        <v>786</v>
      </c>
      <c r="AD28" s="492">
        <v>0</v>
      </c>
      <c r="AE28" s="492">
        <f t="shared" ref="AE28:AE31" si="41">AA28+AB28+AC28+AD28</f>
        <v>108656</v>
      </c>
      <c r="AF28" s="326">
        <v>0</v>
      </c>
      <c r="AG28" s="326">
        <v>0</v>
      </c>
      <c r="AH28" s="326">
        <v>0</v>
      </c>
      <c r="AI28" s="326">
        <v>0</v>
      </c>
      <c r="AJ28" s="326">
        <v>0</v>
      </c>
      <c r="AK28" s="326">
        <v>0</v>
      </c>
      <c r="AL28" s="491">
        <f t="shared" ref="AL28:AL31" si="42">SUM(AF28:AK28)</f>
        <v>0</v>
      </c>
      <c r="AM28" s="492">
        <f>I28+AE28</f>
        <v>24085318</v>
      </c>
      <c r="AN28" s="492">
        <f>J28+V28</f>
        <v>17862483</v>
      </c>
      <c r="AO28" s="573">
        <f t="shared" ref="AO28:AO31" si="43">K28+Z28</f>
        <v>5000</v>
      </c>
      <c r="AP28" s="492">
        <f t="shared" ref="AP28:AR31" si="44">L28+AB28</f>
        <v>6039210</v>
      </c>
      <c r="AQ28" s="492">
        <f t="shared" si="44"/>
        <v>178625</v>
      </c>
      <c r="AR28" s="492">
        <f t="shared" si="44"/>
        <v>0</v>
      </c>
      <c r="AS28" s="491">
        <f t="shared" ref="AS28:AS31" si="45">O28+AL28</f>
        <v>25.14</v>
      </c>
    </row>
    <row r="29" spans="1:45" ht="13.5" customHeight="1" x14ac:dyDescent="0.2">
      <c r="A29" s="136">
        <v>6</v>
      </c>
      <c r="B29" s="137">
        <v>3446</v>
      </c>
      <c r="C29" s="137">
        <v>600078515</v>
      </c>
      <c r="D29" s="137">
        <v>70694974</v>
      </c>
      <c r="E29" s="135" t="s">
        <v>123</v>
      </c>
      <c r="F29" s="137">
        <v>3113</v>
      </c>
      <c r="G29" s="138" t="s">
        <v>799</v>
      </c>
      <c r="H29" s="558" t="s">
        <v>262</v>
      </c>
      <c r="I29" s="580">
        <v>152213</v>
      </c>
      <c r="J29" s="490">
        <v>112918</v>
      </c>
      <c r="K29" s="490">
        <v>0</v>
      </c>
      <c r="L29" s="55">
        <v>38166</v>
      </c>
      <c r="M29" s="55">
        <v>1129</v>
      </c>
      <c r="N29" s="55">
        <v>0</v>
      </c>
      <c r="O29" s="614">
        <v>0.2</v>
      </c>
      <c r="P29" s="445">
        <f>W29*-1</f>
        <v>0</v>
      </c>
      <c r="Q29" s="325">
        <v>0</v>
      </c>
      <c r="R29" s="325"/>
      <c r="S29" s="325">
        <v>0</v>
      </c>
      <c r="T29" s="325">
        <v>0</v>
      </c>
      <c r="U29" s="325">
        <v>0</v>
      </c>
      <c r="V29" s="492">
        <f t="shared" si="36"/>
        <v>0</v>
      </c>
      <c r="W29" s="325">
        <v>0</v>
      </c>
      <c r="X29" s="325">
        <v>0</v>
      </c>
      <c r="Y29" s="325">
        <v>0</v>
      </c>
      <c r="Z29" s="492">
        <f t="shared" si="37"/>
        <v>0</v>
      </c>
      <c r="AA29" s="492">
        <f t="shared" si="38"/>
        <v>0</v>
      </c>
      <c r="AB29" s="494">
        <f t="shared" si="39"/>
        <v>0</v>
      </c>
      <c r="AC29" s="494">
        <f t="shared" si="40"/>
        <v>0</v>
      </c>
      <c r="AD29" s="492">
        <v>0</v>
      </c>
      <c r="AE29" s="492">
        <f t="shared" si="41"/>
        <v>0</v>
      </c>
      <c r="AF29" s="326">
        <v>0</v>
      </c>
      <c r="AG29" s="326">
        <v>0</v>
      </c>
      <c r="AH29" s="326">
        <v>0</v>
      </c>
      <c r="AI29" s="326">
        <v>0</v>
      </c>
      <c r="AJ29" s="326">
        <v>0</v>
      </c>
      <c r="AK29" s="326">
        <v>0</v>
      </c>
      <c r="AL29" s="491">
        <f t="shared" si="42"/>
        <v>0</v>
      </c>
      <c r="AM29" s="492">
        <f>I29+AE29</f>
        <v>152213</v>
      </c>
      <c r="AN29" s="492">
        <f>J29+V29</f>
        <v>112918</v>
      </c>
      <c r="AO29" s="573">
        <f t="shared" si="43"/>
        <v>0</v>
      </c>
      <c r="AP29" s="492">
        <f t="shared" si="44"/>
        <v>38166</v>
      </c>
      <c r="AQ29" s="492">
        <f t="shared" si="44"/>
        <v>1129</v>
      </c>
      <c r="AR29" s="492">
        <f t="shared" si="44"/>
        <v>0</v>
      </c>
      <c r="AS29" s="491">
        <f t="shared" si="45"/>
        <v>0.2</v>
      </c>
    </row>
    <row r="30" spans="1:45" ht="13.5" customHeight="1" x14ac:dyDescent="0.2">
      <c r="A30" s="136">
        <v>6</v>
      </c>
      <c r="B30" s="137">
        <v>3446</v>
      </c>
      <c r="C30" s="137">
        <v>600078515</v>
      </c>
      <c r="D30" s="137">
        <v>70694974</v>
      </c>
      <c r="E30" s="135" t="s">
        <v>123</v>
      </c>
      <c r="F30" s="137">
        <v>3113</v>
      </c>
      <c r="G30" s="138" t="s">
        <v>278</v>
      </c>
      <c r="H30" s="558" t="s">
        <v>263</v>
      </c>
      <c r="I30" s="580">
        <v>2191321</v>
      </c>
      <c r="J30" s="490">
        <v>1625609</v>
      </c>
      <c r="K30" s="490">
        <v>0</v>
      </c>
      <c r="L30" s="55">
        <v>549456</v>
      </c>
      <c r="M30" s="55">
        <v>16256</v>
      </c>
      <c r="N30" s="55">
        <v>0</v>
      </c>
      <c r="O30" s="614">
        <v>3.9899999999999998</v>
      </c>
      <c r="P30" s="440">
        <f>W30*-1</f>
        <v>0</v>
      </c>
      <c r="Q30" s="325">
        <v>165353</v>
      </c>
      <c r="R30" s="325">
        <v>-80620</v>
      </c>
      <c r="S30" s="325">
        <v>0</v>
      </c>
      <c r="T30" s="325">
        <v>0</v>
      </c>
      <c r="U30" s="325">
        <v>0</v>
      </c>
      <c r="V30" s="492">
        <f t="shared" si="36"/>
        <v>84733</v>
      </c>
      <c r="W30" s="325">
        <v>0</v>
      </c>
      <c r="X30" s="325">
        <v>0</v>
      </c>
      <c r="Y30" s="325">
        <v>0</v>
      </c>
      <c r="Z30" s="492">
        <f t="shared" si="37"/>
        <v>0</v>
      </c>
      <c r="AA30" s="492">
        <f t="shared" si="38"/>
        <v>84733</v>
      </c>
      <c r="AB30" s="494">
        <f t="shared" si="39"/>
        <v>28640</v>
      </c>
      <c r="AC30" s="494">
        <f t="shared" si="40"/>
        <v>847</v>
      </c>
      <c r="AD30" s="492">
        <v>0</v>
      </c>
      <c r="AE30" s="492">
        <f t="shared" si="41"/>
        <v>114220</v>
      </c>
      <c r="AF30" s="326">
        <v>0</v>
      </c>
      <c r="AG30" s="326">
        <v>0.42</v>
      </c>
      <c r="AH30" s="326">
        <v>0</v>
      </c>
      <c r="AI30" s="326">
        <v>0</v>
      </c>
      <c r="AJ30" s="326">
        <v>0</v>
      </c>
      <c r="AK30" s="326">
        <v>0</v>
      </c>
      <c r="AL30" s="491">
        <f t="shared" si="42"/>
        <v>0.42</v>
      </c>
      <c r="AM30" s="492">
        <f>I30+AE30</f>
        <v>2305541</v>
      </c>
      <c r="AN30" s="492">
        <f>J30+V30</f>
        <v>1710342</v>
      </c>
      <c r="AO30" s="573">
        <f t="shared" si="43"/>
        <v>0</v>
      </c>
      <c r="AP30" s="492">
        <f t="shared" si="44"/>
        <v>578096</v>
      </c>
      <c r="AQ30" s="492">
        <f t="shared" si="44"/>
        <v>17103</v>
      </c>
      <c r="AR30" s="492">
        <f t="shared" si="44"/>
        <v>0</v>
      </c>
      <c r="AS30" s="491">
        <f t="shared" si="45"/>
        <v>4.41</v>
      </c>
    </row>
    <row r="31" spans="1:45" ht="13.5" customHeight="1" x14ac:dyDescent="0.2">
      <c r="A31" s="136">
        <v>6</v>
      </c>
      <c r="B31" s="137">
        <v>3446</v>
      </c>
      <c r="C31" s="137">
        <v>600078515</v>
      </c>
      <c r="D31" s="137">
        <v>70694974</v>
      </c>
      <c r="E31" s="135" t="s">
        <v>123</v>
      </c>
      <c r="F31" s="137">
        <v>3143</v>
      </c>
      <c r="G31" s="138" t="s">
        <v>795</v>
      </c>
      <c r="H31" s="157" t="s">
        <v>262</v>
      </c>
      <c r="I31" s="580">
        <v>1621232</v>
      </c>
      <c r="J31" s="490">
        <v>1202694</v>
      </c>
      <c r="K31" s="490">
        <v>0</v>
      </c>
      <c r="L31" s="55">
        <v>406511</v>
      </c>
      <c r="M31" s="55">
        <v>12027</v>
      </c>
      <c r="N31" s="55">
        <v>0</v>
      </c>
      <c r="O31" s="614">
        <v>2.75</v>
      </c>
      <c r="P31" s="440">
        <f>W31*-1</f>
        <v>0</v>
      </c>
      <c r="Q31" s="325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 t="shared" si="36"/>
        <v>0</v>
      </c>
      <c r="W31" s="325">
        <v>0</v>
      </c>
      <c r="X31" s="325">
        <v>0</v>
      </c>
      <c r="Y31" s="325">
        <v>0</v>
      </c>
      <c r="Z31" s="492">
        <f t="shared" si="37"/>
        <v>0</v>
      </c>
      <c r="AA31" s="492">
        <f t="shared" si="38"/>
        <v>0</v>
      </c>
      <c r="AB31" s="494">
        <f t="shared" si="39"/>
        <v>0</v>
      </c>
      <c r="AC31" s="494">
        <f t="shared" si="40"/>
        <v>0</v>
      </c>
      <c r="AD31" s="492">
        <v>0</v>
      </c>
      <c r="AE31" s="492">
        <f t="shared" si="41"/>
        <v>0</v>
      </c>
      <c r="AF31" s="326">
        <v>0</v>
      </c>
      <c r="AG31" s="326">
        <v>0</v>
      </c>
      <c r="AH31" s="326">
        <v>0</v>
      </c>
      <c r="AI31" s="326">
        <v>0</v>
      </c>
      <c r="AJ31" s="326">
        <v>0</v>
      </c>
      <c r="AK31" s="326">
        <v>0</v>
      </c>
      <c r="AL31" s="491">
        <f t="shared" si="42"/>
        <v>0</v>
      </c>
      <c r="AM31" s="492">
        <f>I31+AE31</f>
        <v>1621232</v>
      </c>
      <c r="AN31" s="492">
        <f>J31+V31</f>
        <v>1202694</v>
      </c>
      <c r="AO31" s="573">
        <f t="shared" si="43"/>
        <v>0</v>
      </c>
      <c r="AP31" s="492">
        <f t="shared" si="44"/>
        <v>406511</v>
      </c>
      <c r="AQ31" s="492">
        <f t="shared" si="44"/>
        <v>12027</v>
      </c>
      <c r="AR31" s="492">
        <f t="shared" si="44"/>
        <v>0</v>
      </c>
      <c r="AS31" s="491">
        <f t="shared" si="45"/>
        <v>2.75</v>
      </c>
    </row>
    <row r="32" spans="1:45" ht="13.5" customHeight="1" x14ac:dyDescent="0.2">
      <c r="A32" s="107">
        <v>6</v>
      </c>
      <c r="B32" s="15">
        <v>3446</v>
      </c>
      <c r="C32" s="15">
        <v>600078515</v>
      </c>
      <c r="D32" s="15">
        <v>70694974</v>
      </c>
      <c r="E32" s="116" t="s">
        <v>124</v>
      </c>
      <c r="F32" s="15"/>
      <c r="G32" s="106"/>
      <c r="H32" s="555"/>
      <c r="I32" s="758">
        <v>27941428</v>
      </c>
      <c r="J32" s="343">
        <v>20725084</v>
      </c>
      <c r="K32" s="343">
        <v>3000</v>
      </c>
      <c r="L32" s="343">
        <v>7006093</v>
      </c>
      <c r="M32" s="343">
        <v>207251</v>
      </c>
      <c r="N32" s="343">
        <v>0</v>
      </c>
      <c r="O32" s="35">
        <v>32.08</v>
      </c>
      <c r="P32" s="346">
        <f t="shared" ref="P32:AS32" si="46">SUM(P28:P31)</f>
        <v>-2000</v>
      </c>
      <c r="Q32" s="343">
        <f t="shared" si="46"/>
        <v>165353</v>
      </c>
      <c r="R32" s="343">
        <f t="shared" si="46"/>
        <v>0</v>
      </c>
      <c r="S32" s="343">
        <f t="shared" si="46"/>
        <v>0</v>
      </c>
      <c r="T32" s="343">
        <f t="shared" si="46"/>
        <v>0</v>
      </c>
      <c r="U32" s="343">
        <f t="shared" si="46"/>
        <v>0</v>
      </c>
      <c r="V32" s="343">
        <f t="shared" si="46"/>
        <v>163353</v>
      </c>
      <c r="W32" s="343">
        <f t="shared" si="46"/>
        <v>2000</v>
      </c>
      <c r="X32" s="343">
        <f t="shared" si="46"/>
        <v>0</v>
      </c>
      <c r="Y32" s="343">
        <f t="shared" si="46"/>
        <v>0</v>
      </c>
      <c r="Z32" s="343">
        <f t="shared" si="46"/>
        <v>2000</v>
      </c>
      <c r="AA32" s="343">
        <f t="shared" si="46"/>
        <v>165353</v>
      </c>
      <c r="AB32" s="343">
        <f t="shared" si="46"/>
        <v>55890</v>
      </c>
      <c r="AC32" s="343">
        <f t="shared" si="46"/>
        <v>1633</v>
      </c>
      <c r="AD32" s="343">
        <f t="shared" si="46"/>
        <v>0</v>
      </c>
      <c r="AE32" s="343">
        <f t="shared" si="46"/>
        <v>222876</v>
      </c>
      <c r="AF32" s="344">
        <f t="shared" si="46"/>
        <v>0</v>
      </c>
      <c r="AG32" s="344">
        <f t="shared" si="46"/>
        <v>0.42</v>
      </c>
      <c r="AH32" s="344">
        <f t="shared" si="46"/>
        <v>0</v>
      </c>
      <c r="AI32" s="344">
        <f t="shared" si="46"/>
        <v>0</v>
      </c>
      <c r="AJ32" s="344">
        <f t="shared" si="46"/>
        <v>0</v>
      </c>
      <c r="AK32" s="344">
        <f t="shared" si="46"/>
        <v>0</v>
      </c>
      <c r="AL32" s="35">
        <f t="shared" si="46"/>
        <v>0.42</v>
      </c>
      <c r="AM32" s="346">
        <f t="shared" si="46"/>
        <v>28164304</v>
      </c>
      <c r="AN32" s="343">
        <f t="shared" si="46"/>
        <v>20888437</v>
      </c>
      <c r="AO32" s="343">
        <f t="shared" si="46"/>
        <v>5000</v>
      </c>
      <c r="AP32" s="343">
        <f t="shared" si="46"/>
        <v>7061983</v>
      </c>
      <c r="AQ32" s="343">
        <f t="shared" si="46"/>
        <v>208884</v>
      </c>
      <c r="AR32" s="343">
        <f t="shared" si="46"/>
        <v>0</v>
      </c>
      <c r="AS32" s="344">
        <f t="shared" si="46"/>
        <v>32.5</v>
      </c>
    </row>
    <row r="33" spans="1:45" ht="13.5" customHeight="1" x14ac:dyDescent="0.2">
      <c r="A33" s="136">
        <v>7</v>
      </c>
      <c r="B33" s="137">
        <v>3457</v>
      </c>
      <c r="C33" s="137">
        <v>651040230</v>
      </c>
      <c r="D33" s="137">
        <v>75125412</v>
      </c>
      <c r="E33" s="135" t="s">
        <v>125</v>
      </c>
      <c r="F33" s="137">
        <v>3231</v>
      </c>
      <c r="G33" s="138" t="s">
        <v>281</v>
      </c>
      <c r="H33" s="558" t="s">
        <v>262</v>
      </c>
      <c r="I33" s="580">
        <v>12663701</v>
      </c>
      <c r="J33" s="490">
        <v>9365850</v>
      </c>
      <c r="K33" s="490">
        <v>28800</v>
      </c>
      <c r="L33" s="55">
        <v>3175392</v>
      </c>
      <c r="M33" s="55">
        <v>93659</v>
      </c>
      <c r="N33" s="55">
        <v>0</v>
      </c>
      <c r="O33" s="614">
        <v>14.059999999999999</v>
      </c>
      <c r="P33" s="445">
        <f>W33*-1</f>
        <v>-19200</v>
      </c>
      <c r="Q33" s="325">
        <v>0</v>
      </c>
      <c r="R33" s="325">
        <v>0</v>
      </c>
      <c r="S33" s="325">
        <v>0</v>
      </c>
      <c r="T33" s="325">
        <v>0</v>
      </c>
      <c r="U33" s="325">
        <v>0</v>
      </c>
      <c r="V33" s="492">
        <f>P33+Q33+R33+S33+T33+U33</f>
        <v>-19200</v>
      </c>
      <c r="W33" s="325">
        <v>19200</v>
      </c>
      <c r="X33" s="325">
        <v>0</v>
      </c>
      <c r="Y33" s="325">
        <v>0</v>
      </c>
      <c r="Z33" s="492">
        <f>W33+X33+Y33</f>
        <v>19200</v>
      </c>
      <c r="AA33" s="492">
        <f>V33+Z33</f>
        <v>0</v>
      </c>
      <c r="AB33" s="494">
        <f>ROUND((V33+Z33)*33.8%,0)</f>
        <v>0</v>
      </c>
      <c r="AC33" s="494">
        <f>ROUND(V33*1%,0)</f>
        <v>-192</v>
      </c>
      <c r="AD33" s="492">
        <v>0</v>
      </c>
      <c r="AE33" s="492">
        <f>AA33+AB33+AC33+AD33</f>
        <v>-192</v>
      </c>
      <c r="AF33" s="326">
        <v>-0.03</v>
      </c>
      <c r="AG33" s="326">
        <v>0</v>
      </c>
      <c r="AH33" s="326">
        <v>0</v>
      </c>
      <c r="AI33" s="326">
        <v>0</v>
      </c>
      <c r="AJ33" s="326">
        <v>0</v>
      </c>
      <c r="AK33" s="326">
        <v>0</v>
      </c>
      <c r="AL33" s="491">
        <f>SUM(AF33:AK33)</f>
        <v>-0.03</v>
      </c>
      <c r="AM33" s="492">
        <f>I33+AE33</f>
        <v>12663509</v>
      </c>
      <c r="AN33" s="492">
        <f>J33+V33</f>
        <v>9346650</v>
      </c>
      <c r="AO33" s="573">
        <f>K33+Z33</f>
        <v>48000</v>
      </c>
      <c r="AP33" s="492">
        <f>L33+AB33</f>
        <v>3175392</v>
      </c>
      <c r="AQ33" s="492">
        <f>M33+AC33</f>
        <v>93467</v>
      </c>
      <c r="AR33" s="492">
        <f>N33+AD33</f>
        <v>0</v>
      </c>
      <c r="AS33" s="491">
        <f>O33+AL33</f>
        <v>14.03</v>
      </c>
    </row>
    <row r="34" spans="1:45" ht="13.5" customHeight="1" x14ac:dyDescent="0.2">
      <c r="A34" s="107">
        <v>7</v>
      </c>
      <c r="B34" s="15">
        <v>3457</v>
      </c>
      <c r="C34" s="15">
        <v>651040230</v>
      </c>
      <c r="D34" s="15">
        <v>75125412</v>
      </c>
      <c r="E34" s="116" t="s">
        <v>126</v>
      </c>
      <c r="F34" s="15"/>
      <c r="G34" s="106"/>
      <c r="H34" s="555"/>
      <c r="I34" s="757">
        <v>12663701</v>
      </c>
      <c r="J34" s="341">
        <v>9365850</v>
      </c>
      <c r="K34" s="341">
        <v>28800</v>
      </c>
      <c r="L34" s="341">
        <v>3175392</v>
      </c>
      <c r="M34" s="341">
        <v>93659</v>
      </c>
      <c r="N34" s="341">
        <v>0</v>
      </c>
      <c r="O34" s="36">
        <v>14.059999999999999</v>
      </c>
      <c r="P34" s="345">
        <f t="shared" ref="P34:AS34" si="47">SUM(P33)</f>
        <v>-19200</v>
      </c>
      <c r="Q34" s="341">
        <f t="shared" si="47"/>
        <v>0</v>
      </c>
      <c r="R34" s="341">
        <f t="shared" si="47"/>
        <v>0</v>
      </c>
      <c r="S34" s="341">
        <f t="shared" si="47"/>
        <v>0</v>
      </c>
      <c r="T34" s="341">
        <f t="shared" si="47"/>
        <v>0</v>
      </c>
      <c r="U34" s="341">
        <f t="shared" si="47"/>
        <v>0</v>
      </c>
      <c r="V34" s="341">
        <f t="shared" si="47"/>
        <v>-19200</v>
      </c>
      <c r="W34" s="341">
        <f t="shared" si="47"/>
        <v>19200</v>
      </c>
      <c r="X34" s="341">
        <f t="shared" si="47"/>
        <v>0</v>
      </c>
      <c r="Y34" s="341">
        <f t="shared" si="47"/>
        <v>0</v>
      </c>
      <c r="Z34" s="341">
        <f t="shared" si="47"/>
        <v>19200</v>
      </c>
      <c r="AA34" s="341">
        <f t="shared" si="47"/>
        <v>0</v>
      </c>
      <c r="AB34" s="341">
        <f t="shared" si="47"/>
        <v>0</v>
      </c>
      <c r="AC34" s="341">
        <f t="shared" si="47"/>
        <v>-192</v>
      </c>
      <c r="AD34" s="341">
        <f t="shared" si="47"/>
        <v>0</v>
      </c>
      <c r="AE34" s="341">
        <f t="shared" si="47"/>
        <v>-192</v>
      </c>
      <c r="AF34" s="342">
        <f t="shared" si="47"/>
        <v>-0.03</v>
      </c>
      <c r="AG34" s="342">
        <f t="shared" si="47"/>
        <v>0</v>
      </c>
      <c r="AH34" s="342">
        <f t="shared" si="47"/>
        <v>0</v>
      </c>
      <c r="AI34" s="342">
        <f t="shared" si="47"/>
        <v>0</v>
      </c>
      <c r="AJ34" s="342">
        <f t="shared" si="47"/>
        <v>0</v>
      </c>
      <c r="AK34" s="342">
        <f t="shared" si="47"/>
        <v>0</v>
      </c>
      <c r="AL34" s="36">
        <f t="shared" si="47"/>
        <v>-0.03</v>
      </c>
      <c r="AM34" s="345">
        <f t="shared" si="47"/>
        <v>12663509</v>
      </c>
      <c r="AN34" s="341">
        <f t="shared" si="47"/>
        <v>9346650</v>
      </c>
      <c r="AO34" s="341">
        <f t="shared" si="47"/>
        <v>48000</v>
      </c>
      <c r="AP34" s="341">
        <f t="shared" si="47"/>
        <v>3175392</v>
      </c>
      <c r="AQ34" s="341">
        <f t="shared" si="47"/>
        <v>93467</v>
      </c>
      <c r="AR34" s="341">
        <f t="shared" si="47"/>
        <v>0</v>
      </c>
      <c r="AS34" s="342">
        <f t="shared" si="47"/>
        <v>14.03</v>
      </c>
    </row>
    <row r="35" spans="1:45" ht="13.5" customHeight="1" x14ac:dyDescent="0.2">
      <c r="A35" s="136">
        <v>8</v>
      </c>
      <c r="B35" s="137">
        <v>3448</v>
      </c>
      <c r="C35" s="137">
        <v>600078299</v>
      </c>
      <c r="D35" s="137">
        <v>70695059</v>
      </c>
      <c r="E35" s="135" t="s">
        <v>127</v>
      </c>
      <c r="F35" s="137">
        <v>3111</v>
      </c>
      <c r="G35" s="138" t="s">
        <v>277</v>
      </c>
      <c r="H35" s="558" t="s">
        <v>262</v>
      </c>
      <c r="I35" s="580">
        <v>3207491</v>
      </c>
      <c r="J35" s="490">
        <v>2379445</v>
      </c>
      <c r="K35" s="490">
        <v>0</v>
      </c>
      <c r="L35" s="55">
        <v>804252</v>
      </c>
      <c r="M35" s="55">
        <v>23794</v>
      </c>
      <c r="N35" s="55">
        <v>0</v>
      </c>
      <c r="O35" s="614">
        <v>4</v>
      </c>
      <c r="P35" s="445">
        <f>W35*-1</f>
        <v>0</v>
      </c>
      <c r="Q35" s="325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>P35+Q35+R35+S35+T35+U35</f>
        <v>0</v>
      </c>
      <c r="W35" s="325">
        <v>0</v>
      </c>
      <c r="X35" s="325">
        <v>0</v>
      </c>
      <c r="Y35" s="325">
        <v>0</v>
      </c>
      <c r="Z35" s="492">
        <f>W35+X35+Y35</f>
        <v>0</v>
      </c>
      <c r="AA35" s="492">
        <f>V35+Z35</f>
        <v>0</v>
      </c>
      <c r="AB35" s="494">
        <f>ROUND((V35+Z35)*33.8%,0)</f>
        <v>0</v>
      </c>
      <c r="AC35" s="494">
        <f>ROUND(V35*1%,0)</f>
        <v>0</v>
      </c>
      <c r="AD35" s="492">
        <v>0</v>
      </c>
      <c r="AE35" s="492">
        <f>AA35+AB35+AC35+AD35</f>
        <v>0</v>
      </c>
      <c r="AF35" s="326">
        <v>0</v>
      </c>
      <c r="AG35" s="326">
        <v>0</v>
      </c>
      <c r="AH35" s="326">
        <v>0</v>
      </c>
      <c r="AI35" s="326">
        <v>0</v>
      </c>
      <c r="AJ35" s="326">
        <v>0</v>
      </c>
      <c r="AK35" s="326">
        <v>0</v>
      </c>
      <c r="AL35" s="491">
        <f>SUM(AF35:AK35)</f>
        <v>0</v>
      </c>
      <c r="AM35" s="492">
        <f>I35+AE35</f>
        <v>3207491</v>
      </c>
      <c r="AN35" s="492">
        <f>J35+V35</f>
        <v>2379445</v>
      </c>
      <c r="AO35" s="573">
        <f t="shared" ref="AO35:AO38" si="48">K35+Z35</f>
        <v>0</v>
      </c>
      <c r="AP35" s="492">
        <f t="shared" ref="AP35:AR38" si="49">L35+AB35</f>
        <v>804252</v>
      </c>
      <c r="AQ35" s="492">
        <f t="shared" si="49"/>
        <v>23794</v>
      </c>
      <c r="AR35" s="492">
        <f t="shared" si="49"/>
        <v>0</v>
      </c>
      <c r="AS35" s="491">
        <f>O35+AL35</f>
        <v>4</v>
      </c>
    </row>
    <row r="36" spans="1:45" ht="13.5" customHeight="1" x14ac:dyDescent="0.2">
      <c r="A36" s="136">
        <v>8</v>
      </c>
      <c r="B36" s="137">
        <v>3448</v>
      </c>
      <c r="C36" s="137">
        <v>600078299</v>
      </c>
      <c r="D36" s="137">
        <v>70695041</v>
      </c>
      <c r="E36" s="135" t="s">
        <v>128</v>
      </c>
      <c r="F36" s="137">
        <v>3117</v>
      </c>
      <c r="G36" s="138" t="s">
        <v>280</v>
      </c>
      <c r="H36" s="558" t="s">
        <v>262</v>
      </c>
      <c r="I36" s="580">
        <v>5482439</v>
      </c>
      <c r="J36" s="490">
        <v>4062839</v>
      </c>
      <c r="K36" s="490">
        <v>4284</v>
      </c>
      <c r="L36" s="55">
        <v>1374688</v>
      </c>
      <c r="M36" s="55">
        <v>40628</v>
      </c>
      <c r="N36" s="55">
        <v>0</v>
      </c>
      <c r="O36" s="614">
        <v>6.04</v>
      </c>
      <c r="P36" s="445">
        <f>W36*-1</f>
        <v>-2856</v>
      </c>
      <c r="Q36" s="325">
        <v>0</v>
      </c>
      <c r="R36" s="325">
        <v>0</v>
      </c>
      <c r="S36" s="325">
        <v>0</v>
      </c>
      <c r="T36" s="325">
        <v>0</v>
      </c>
      <c r="U36" s="325">
        <v>0</v>
      </c>
      <c r="V36" s="492">
        <f t="shared" ref="V36:V38" si="50">P36+Q36+R36+S36+T36+U36</f>
        <v>-2856</v>
      </c>
      <c r="W36" s="325">
        <v>2856</v>
      </c>
      <c r="X36" s="325">
        <v>0</v>
      </c>
      <c r="Y36" s="325">
        <v>0</v>
      </c>
      <c r="Z36" s="492">
        <f t="shared" ref="Z36:Z38" si="51">W36+X36+Y36</f>
        <v>2856</v>
      </c>
      <c r="AA36" s="492">
        <f t="shared" ref="AA36:AA38" si="52">V36+Z36</f>
        <v>0</v>
      </c>
      <c r="AB36" s="494">
        <f t="shared" ref="AB36:AB38" si="53">ROUND((V36+Z36)*33.8%,0)</f>
        <v>0</v>
      </c>
      <c r="AC36" s="494">
        <f t="shared" ref="AC36:AC38" si="54">ROUND(V36*1%,0)</f>
        <v>-29</v>
      </c>
      <c r="AD36" s="492">
        <v>0</v>
      </c>
      <c r="AE36" s="492">
        <f t="shared" ref="AE36:AE38" si="55">AA36+AB36+AC36+AD36</f>
        <v>-29</v>
      </c>
      <c r="AF36" s="326">
        <v>0</v>
      </c>
      <c r="AG36" s="326">
        <v>0</v>
      </c>
      <c r="AH36" s="326">
        <v>0</v>
      </c>
      <c r="AI36" s="326">
        <v>0</v>
      </c>
      <c r="AJ36" s="326">
        <v>0</v>
      </c>
      <c r="AK36" s="326">
        <v>0</v>
      </c>
      <c r="AL36" s="491">
        <f t="shared" ref="AL36:AL38" si="56">SUM(AF36:AK36)</f>
        <v>0</v>
      </c>
      <c r="AM36" s="492">
        <f>I36+AE36</f>
        <v>5482410</v>
      </c>
      <c r="AN36" s="492">
        <f>J36+V36</f>
        <v>4059983</v>
      </c>
      <c r="AO36" s="573">
        <f t="shared" si="48"/>
        <v>7140</v>
      </c>
      <c r="AP36" s="492">
        <f t="shared" si="49"/>
        <v>1374688</v>
      </c>
      <c r="AQ36" s="492">
        <f t="shared" si="49"/>
        <v>40599</v>
      </c>
      <c r="AR36" s="492">
        <f t="shared" si="49"/>
        <v>0</v>
      </c>
      <c r="AS36" s="491">
        <f t="shared" ref="AS36:AS38" si="57">O36+AL36</f>
        <v>6.04</v>
      </c>
    </row>
    <row r="37" spans="1:45" ht="13.5" customHeight="1" x14ac:dyDescent="0.2">
      <c r="A37" s="136">
        <v>8</v>
      </c>
      <c r="B37" s="137">
        <v>3448</v>
      </c>
      <c r="C37" s="137">
        <v>600078299</v>
      </c>
      <c r="D37" s="137">
        <v>70695041</v>
      </c>
      <c r="E37" s="135" t="s">
        <v>128</v>
      </c>
      <c r="F37" s="137">
        <v>3117</v>
      </c>
      <c r="G37" s="138" t="s">
        <v>278</v>
      </c>
      <c r="H37" s="558" t="s">
        <v>263</v>
      </c>
      <c r="I37" s="580">
        <v>802427</v>
      </c>
      <c r="J37" s="490">
        <v>595272</v>
      </c>
      <c r="K37" s="490">
        <v>0</v>
      </c>
      <c r="L37" s="55">
        <v>201202</v>
      </c>
      <c r="M37" s="55">
        <v>5953</v>
      </c>
      <c r="N37" s="55">
        <v>0</v>
      </c>
      <c r="O37" s="614">
        <v>1.5</v>
      </c>
      <c r="P37" s="440">
        <f>W37*-1</f>
        <v>0</v>
      </c>
      <c r="Q37" s="325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 t="shared" si="50"/>
        <v>0</v>
      </c>
      <c r="W37" s="325">
        <v>0</v>
      </c>
      <c r="X37" s="325">
        <v>0</v>
      </c>
      <c r="Y37" s="325">
        <v>0</v>
      </c>
      <c r="Z37" s="492">
        <f t="shared" si="51"/>
        <v>0</v>
      </c>
      <c r="AA37" s="492">
        <f t="shared" si="52"/>
        <v>0</v>
      </c>
      <c r="AB37" s="494">
        <f t="shared" si="53"/>
        <v>0</v>
      </c>
      <c r="AC37" s="494">
        <f t="shared" si="54"/>
        <v>0</v>
      </c>
      <c r="AD37" s="492">
        <v>0</v>
      </c>
      <c r="AE37" s="492">
        <f t="shared" si="55"/>
        <v>0</v>
      </c>
      <c r="AF37" s="326">
        <v>0</v>
      </c>
      <c r="AG37" s="326">
        <v>0</v>
      </c>
      <c r="AH37" s="326">
        <v>0</v>
      </c>
      <c r="AI37" s="326">
        <v>0</v>
      </c>
      <c r="AJ37" s="326">
        <v>0</v>
      </c>
      <c r="AK37" s="326">
        <v>0</v>
      </c>
      <c r="AL37" s="491">
        <f t="shared" si="56"/>
        <v>0</v>
      </c>
      <c r="AM37" s="492">
        <f>I37+AE37</f>
        <v>802427</v>
      </c>
      <c r="AN37" s="492">
        <f>J37+V37</f>
        <v>595272</v>
      </c>
      <c r="AO37" s="573">
        <f t="shared" si="48"/>
        <v>0</v>
      </c>
      <c r="AP37" s="492">
        <f t="shared" si="49"/>
        <v>201202</v>
      </c>
      <c r="AQ37" s="492">
        <f t="shared" si="49"/>
        <v>5953</v>
      </c>
      <c r="AR37" s="492">
        <f t="shared" si="49"/>
        <v>0</v>
      </c>
      <c r="AS37" s="491">
        <f t="shared" si="57"/>
        <v>1.5</v>
      </c>
    </row>
    <row r="38" spans="1:45" ht="13.5" customHeight="1" x14ac:dyDescent="0.2">
      <c r="A38" s="136">
        <v>8</v>
      </c>
      <c r="B38" s="137">
        <v>3448</v>
      </c>
      <c r="C38" s="137">
        <v>600078299</v>
      </c>
      <c r="D38" s="137">
        <v>70695041</v>
      </c>
      <c r="E38" s="135" t="s">
        <v>128</v>
      </c>
      <c r="F38" s="137">
        <v>3143</v>
      </c>
      <c r="G38" s="138" t="s">
        <v>794</v>
      </c>
      <c r="H38" s="157" t="s">
        <v>262</v>
      </c>
      <c r="I38" s="580">
        <v>1061523</v>
      </c>
      <c r="J38" s="490">
        <v>787480</v>
      </c>
      <c r="K38" s="490">
        <v>0</v>
      </c>
      <c r="L38" s="55">
        <v>266168</v>
      </c>
      <c r="M38" s="55">
        <v>7875</v>
      </c>
      <c r="N38" s="55">
        <v>0</v>
      </c>
      <c r="O38" s="614">
        <v>1.5</v>
      </c>
      <c r="P38" s="440">
        <f>W38*-1</f>
        <v>0</v>
      </c>
      <c r="Q38" s="325">
        <v>0</v>
      </c>
      <c r="R38" s="325">
        <v>0</v>
      </c>
      <c r="S38" s="325">
        <v>0</v>
      </c>
      <c r="T38" s="325">
        <v>0</v>
      </c>
      <c r="U38" s="325">
        <v>0</v>
      </c>
      <c r="V38" s="492">
        <f t="shared" si="50"/>
        <v>0</v>
      </c>
      <c r="W38" s="325">
        <v>0</v>
      </c>
      <c r="X38" s="325">
        <v>0</v>
      </c>
      <c r="Y38" s="325">
        <v>0</v>
      </c>
      <c r="Z38" s="492">
        <f t="shared" si="51"/>
        <v>0</v>
      </c>
      <c r="AA38" s="492">
        <f t="shared" si="52"/>
        <v>0</v>
      </c>
      <c r="AB38" s="494">
        <f t="shared" si="53"/>
        <v>0</v>
      </c>
      <c r="AC38" s="494">
        <f t="shared" si="54"/>
        <v>0</v>
      </c>
      <c r="AD38" s="492">
        <v>0</v>
      </c>
      <c r="AE38" s="492">
        <f t="shared" si="55"/>
        <v>0</v>
      </c>
      <c r="AF38" s="326">
        <v>0</v>
      </c>
      <c r="AG38" s="326">
        <v>0</v>
      </c>
      <c r="AH38" s="326">
        <v>0</v>
      </c>
      <c r="AI38" s="326">
        <v>0</v>
      </c>
      <c r="AJ38" s="326">
        <v>0</v>
      </c>
      <c r="AK38" s="326">
        <v>0</v>
      </c>
      <c r="AL38" s="491">
        <f t="shared" si="56"/>
        <v>0</v>
      </c>
      <c r="AM38" s="492">
        <f>I38+AE38</f>
        <v>1061523</v>
      </c>
      <c r="AN38" s="492">
        <f>J38+V38</f>
        <v>787480</v>
      </c>
      <c r="AO38" s="573">
        <f t="shared" si="48"/>
        <v>0</v>
      </c>
      <c r="AP38" s="492">
        <f t="shared" si="49"/>
        <v>266168</v>
      </c>
      <c r="AQ38" s="492">
        <f t="shared" si="49"/>
        <v>7875</v>
      </c>
      <c r="AR38" s="492">
        <f t="shared" si="49"/>
        <v>0</v>
      </c>
      <c r="AS38" s="491">
        <f t="shared" si="57"/>
        <v>1.5</v>
      </c>
    </row>
    <row r="39" spans="1:45" ht="13.5" customHeight="1" x14ac:dyDescent="0.2">
      <c r="A39" s="107">
        <v>8</v>
      </c>
      <c r="B39" s="15">
        <v>3448</v>
      </c>
      <c r="C39" s="15">
        <v>600078299</v>
      </c>
      <c r="D39" s="15">
        <v>70695041</v>
      </c>
      <c r="E39" s="116" t="s">
        <v>129</v>
      </c>
      <c r="F39" s="15"/>
      <c r="G39" s="106"/>
      <c r="H39" s="555"/>
      <c r="I39" s="758">
        <v>10553880</v>
      </c>
      <c r="J39" s="343">
        <v>7825036</v>
      </c>
      <c r="K39" s="343">
        <v>4284</v>
      </c>
      <c r="L39" s="343">
        <v>2646310</v>
      </c>
      <c r="M39" s="343">
        <v>78250</v>
      </c>
      <c r="N39" s="343">
        <v>0</v>
      </c>
      <c r="O39" s="35">
        <v>13.04</v>
      </c>
      <c r="P39" s="346">
        <f>SUM(P35:P38)</f>
        <v>-2856</v>
      </c>
      <c r="Q39" s="343">
        <f t="shared" ref="Q39:AE39" si="58">SUM(Q35:Q38)</f>
        <v>0</v>
      </c>
      <c r="R39" s="343">
        <f t="shared" si="58"/>
        <v>0</v>
      </c>
      <c r="S39" s="343">
        <f t="shared" si="58"/>
        <v>0</v>
      </c>
      <c r="T39" s="343">
        <f t="shared" si="58"/>
        <v>0</v>
      </c>
      <c r="U39" s="343">
        <f t="shared" si="58"/>
        <v>0</v>
      </c>
      <c r="V39" s="343">
        <f t="shared" si="58"/>
        <v>-2856</v>
      </c>
      <c r="W39" s="343">
        <f t="shared" si="58"/>
        <v>2856</v>
      </c>
      <c r="X39" s="343">
        <f t="shared" si="58"/>
        <v>0</v>
      </c>
      <c r="Y39" s="343">
        <f t="shared" si="58"/>
        <v>0</v>
      </c>
      <c r="Z39" s="343">
        <f t="shared" si="58"/>
        <v>2856</v>
      </c>
      <c r="AA39" s="343">
        <f t="shared" si="58"/>
        <v>0</v>
      </c>
      <c r="AB39" s="343">
        <f t="shared" si="58"/>
        <v>0</v>
      </c>
      <c r="AC39" s="343">
        <f t="shared" si="58"/>
        <v>-29</v>
      </c>
      <c r="AD39" s="343">
        <f t="shared" si="58"/>
        <v>0</v>
      </c>
      <c r="AE39" s="343">
        <f t="shared" si="58"/>
        <v>-29</v>
      </c>
      <c r="AF39" s="344">
        <f>SUM(AF35:AF38)</f>
        <v>0</v>
      </c>
      <c r="AG39" s="344">
        <f t="shared" ref="AG39:AL39" si="59">SUM(AG35:AG38)</f>
        <v>0</v>
      </c>
      <c r="AH39" s="344">
        <f t="shared" si="59"/>
        <v>0</v>
      </c>
      <c r="AI39" s="344">
        <f t="shared" si="59"/>
        <v>0</v>
      </c>
      <c r="AJ39" s="344">
        <f t="shared" si="59"/>
        <v>0</v>
      </c>
      <c r="AK39" s="344">
        <f t="shared" si="59"/>
        <v>0</v>
      </c>
      <c r="AL39" s="344">
        <f t="shared" si="59"/>
        <v>0</v>
      </c>
      <c r="AM39" s="346">
        <f>SUM(AM35:AM38)</f>
        <v>10553851</v>
      </c>
      <c r="AN39" s="346">
        <f t="shared" ref="AN39:AR39" si="60">SUM(AN35:AN38)</f>
        <v>7822180</v>
      </c>
      <c r="AO39" s="346">
        <f t="shared" si="60"/>
        <v>7140</v>
      </c>
      <c r="AP39" s="346">
        <f t="shared" si="60"/>
        <v>2646310</v>
      </c>
      <c r="AQ39" s="346">
        <f t="shared" si="60"/>
        <v>78221</v>
      </c>
      <c r="AR39" s="346">
        <f t="shared" si="60"/>
        <v>0</v>
      </c>
      <c r="AS39" s="344">
        <f>SUM(AS35:AS38)</f>
        <v>13.04</v>
      </c>
    </row>
    <row r="40" spans="1:45" ht="13.5" customHeight="1" x14ac:dyDescent="0.2">
      <c r="A40" s="136">
        <v>9</v>
      </c>
      <c r="B40" s="137">
        <v>3402</v>
      </c>
      <c r="C40" s="137">
        <v>600078124</v>
      </c>
      <c r="D40" s="137">
        <v>70982643</v>
      </c>
      <c r="E40" s="135" t="s">
        <v>130</v>
      </c>
      <c r="F40" s="137">
        <v>3111</v>
      </c>
      <c r="G40" s="138" t="s">
        <v>277</v>
      </c>
      <c r="H40" s="558" t="s">
        <v>262</v>
      </c>
      <c r="I40" s="580">
        <v>5074092</v>
      </c>
      <c r="J40" s="490">
        <v>3749274</v>
      </c>
      <c r="K40" s="490">
        <v>15000</v>
      </c>
      <c r="L40" s="55">
        <v>1272325</v>
      </c>
      <c r="M40" s="55">
        <v>37493</v>
      </c>
      <c r="N40" s="55">
        <v>0</v>
      </c>
      <c r="O40" s="614">
        <v>6.09</v>
      </c>
      <c r="P40" s="445">
        <f>W40*-1</f>
        <v>-10000</v>
      </c>
      <c r="Q40" s="325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 t="shared" ref="V40:V41" si="61">P40+Q40+R40+S40+T40+U40</f>
        <v>-10000</v>
      </c>
      <c r="W40" s="325">
        <v>10000</v>
      </c>
      <c r="X40" s="325">
        <v>0</v>
      </c>
      <c r="Y40" s="325">
        <v>0</v>
      </c>
      <c r="Z40" s="492">
        <f t="shared" ref="Z40:Z41" si="62">W40+X40+Y40</f>
        <v>10000</v>
      </c>
      <c r="AA40" s="492">
        <f t="shared" ref="AA40:AA41" si="63">V40+Z40</f>
        <v>0</v>
      </c>
      <c r="AB40" s="494">
        <f t="shared" ref="AB40:AB41" si="64">ROUND((V40+Z40)*33.8%,0)</f>
        <v>0</v>
      </c>
      <c r="AC40" s="494">
        <f t="shared" ref="AC40:AC41" si="65">ROUND(V40*1%,0)</f>
        <v>-100</v>
      </c>
      <c r="AD40" s="492">
        <v>0</v>
      </c>
      <c r="AE40" s="492">
        <f t="shared" ref="AE40:AE41" si="66">AA40+AB40+AC40+AD40</f>
        <v>-100</v>
      </c>
      <c r="AF40" s="326">
        <v>-0.01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491">
        <f t="shared" ref="AL40:AL41" si="67">SUM(AF40:AK40)</f>
        <v>-0.01</v>
      </c>
      <c r="AM40" s="492">
        <f>I40+AE40</f>
        <v>5073992</v>
      </c>
      <c r="AN40" s="492">
        <f>J40+V40</f>
        <v>3739274</v>
      </c>
      <c r="AO40" s="573">
        <f t="shared" ref="AO40:AO41" si="68">K40+Z40</f>
        <v>25000</v>
      </c>
      <c r="AP40" s="492">
        <f>L40+AB40</f>
        <v>1272325</v>
      </c>
      <c r="AQ40" s="492">
        <f>M40+AC40</f>
        <v>37393</v>
      </c>
      <c r="AR40" s="492">
        <f t="shared" ref="AR40:AR41" si="69">N40+AD40</f>
        <v>0</v>
      </c>
      <c r="AS40" s="491">
        <f t="shared" ref="AS40:AS41" si="70">O40+AL40</f>
        <v>6.08</v>
      </c>
    </row>
    <row r="41" spans="1:45" ht="13.5" customHeight="1" x14ac:dyDescent="0.2">
      <c r="A41" s="136">
        <v>9</v>
      </c>
      <c r="B41" s="137">
        <v>3402</v>
      </c>
      <c r="C41" s="137">
        <v>600078124</v>
      </c>
      <c r="D41" s="137">
        <v>70982643</v>
      </c>
      <c r="E41" s="135" t="s">
        <v>130</v>
      </c>
      <c r="F41" s="137">
        <v>3111</v>
      </c>
      <c r="G41" s="138" t="s">
        <v>278</v>
      </c>
      <c r="H41" s="558" t="s">
        <v>263</v>
      </c>
      <c r="I41" s="580">
        <v>267475</v>
      </c>
      <c r="J41" s="490">
        <v>198424</v>
      </c>
      <c r="K41" s="490">
        <v>0</v>
      </c>
      <c r="L41" s="55">
        <v>67067</v>
      </c>
      <c r="M41" s="55">
        <v>1984</v>
      </c>
      <c r="N41" s="55">
        <v>0</v>
      </c>
      <c r="O41" s="614">
        <v>0.5</v>
      </c>
      <c r="P41" s="440">
        <f>W41*-1</f>
        <v>0</v>
      </c>
      <c r="Q41" s="325">
        <v>0</v>
      </c>
      <c r="R41" s="325">
        <v>0</v>
      </c>
      <c r="S41" s="325">
        <v>0</v>
      </c>
      <c r="T41" s="325">
        <v>0</v>
      </c>
      <c r="U41" s="325">
        <v>0</v>
      </c>
      <c r="V41" s="492">
        <f t="shared" si="61"/>
        <v>0</v>
      </c>
      <c r="W41" s="325">
        <v>0</v>
      </c>
      <c r="X41" s="325">
        <v>0</v>
      </c>
      <c r="Y41" s="325">
        <v>0</v>
      </c>
      <c r="Z41" s="492">
        <f t="shared" si="62"/>
        <v>0</v>
      </c>
      <c r="AA41" s="492">
        <f t="shared" si="63"/>
        <v>0</v>
      </c>
      <c r="AB41" s="494">
        <f t="shared" si="64"/>
        <v>0</v>
      </c>
      <c r="AC41" s="494">
        <f t="shared" si="65"/>
        <v>0</v>
      </c>
      <c r="AD41" s="492">
        <v>0</v>
      </c>
      <c r="AE41" s="492">
        <f t="shared" si="66"/>
        <v>0</v>
      </c>
      <c r="AF41" s="326">
        <v>0</v>
      </c>
      <c r="AG41" s="326">
        <v>0</v>
      </c>
      <c r="AH41" s="326">
        <v>0</v>
      </c>
      <c r="AI41" s="326">
        <v>0</v>
      </c>
      <c r="AJ41" s="326">
        <v>0</v>
      </c>
      <c r="AK41" s="326">
        <v>0</v>
      </c>
      <c r="AL41" s="491">
        <f t="shared" si="67"/>
        <v>0</v>
      </c>
      <c r="AM41" s="492">
        <f>I41+AE41</f>
        <v>267475</v>
      </c>
      <c r="AN41" s="492">
        <f>J41+V41</f>
        <v>198424</v>
      </c>
      <c r="AO41" s="573">
        <f t="shared" si="68"/>
        <v>0</v>
      </c>
      <c r="AP41" s="492">
        <f>L41+AB41</f>
        <v>67067</v>
      </c>
      <c r="AQ41" s="492">
        <f>M41+AC41</f>
        <v>1984</v>
      </c>
      <c r="AR41" s="492">
        <f t="shared" si="69"/>
        <v>0</v>
      </c>
      <c r="AS41" s="491">
        <f t="shared" si="70"/>
        <v>0.5</v>
      </c>
    </row>
    <row r="42" spans="1:45" x14ac:dyDescent="0.2">
      <c r="A42" s="107">
        <v>9</v>
      </c>
      <c r="B42" s="15">
        <v>3402</v>
      </c>
      <c r="C42" s="15">
        <v>600078124</v>
      </c>
      <c r="D42" s="15">
        <v>70982643</v>
      </c>
      <c r="E42" s="116" t="s">
        <v>131</v>
      </c>
      <c r="F42" s="15"/>
      <c r="G42" s="106"/>
      <c r="H42" s="555"/>
      <c r="I42" s="758">
        <v>5341567</v>
      </c>
      <c r="J42" s="343">
        <v>3947698</v>
      </c>
      <c r="K42" s="343">
        <v>15000</v>
      </c>
      <c r="L42" s="343">
        <v>1339392</v>
      </c>
      <c r="M42" s="343">
        <v>39477</v>
      </c>
      <c r="N42" s="343">
        <v>0</v>
      </c>
      <c r="O42" s="35">
        <v>6.59</v>
      </c>
      <c r="P42" s="346">
        <f t="shared" ref="P42:AS42" si="71">SUM(P40:P41)</f>
        <v>-10000</v>
      </c>
      <c r="Q42" s="343">
        <f t="shared" si="71"/>
        <v>0</v>
      </c>
      <c r="R42" s="343">
        <f t="shared" si="71"/>
        <v>0</v>
      </c>
      <c r="S42" s="343">
        <f t="shared" si="71"/>
        <v>0</v>
      </c>
      <c r="T42" s="343">
        <f t="shared" si="71"/>
        <v>0</v>
      </c>
      <c r="U42" s="343">
        <f t="shared" si="71"/>
        <v>0</v>
      </c>
      <c r="V42" s="343">
        <f t="shared" si="71"/>
        <v>-10000</v>
      </c>
      <c r="W42" s="343">
        <f t="shared" si="71"/>
        <v>10000</v>
      </c>
      <c r="X42" s="343">
        <f t="shared" si="71"/>
        <v>0</v>
      </c>
      <c r="Y42" s="343">
        <f t="shared" si="71"/>
        <v>0</v>
      </c>
      <c r="Z42" s="343">
        <f t="shared" si="71"/>
        <v>10000</v>
      </c>
      <c r="AA42" s="343">
        <f t="shared" si="71"/>
        <v>0</v>
      </c>
      <c r="AB42" s="343">
        <f t="shared" si="71"/>
        <v>0</v>
      </c>
      <c r="AC42" s="343">
        <f t="shared" si="71"/>
        <v>-100</v>
      </c>
      <c r="AD42" s="343">
        <f t="shared" si="71"/>
        <v>0</v>
      </c>
      <c r="AE42" s="343">
        <f t="shared" si="71"/>
        <v>-100</v>
      </c>
      <c r="AF42" s="344">
        <f t="shared" si="71"/>
        <v>-0.01</v>
      </c>
      <c r="AG42" s="344">
        <f t="shared" si="71"/>
        <v>0</v>
      </c>
      <c r="AH42" s="344">
        <f t="shared" si="71"/>
        <v>0</v>
      </c>
      <c r="AI42" s="344">
        <f t="shared" si="71"/>
        <v>0</v>
      </c>
      <c r="AJ42" s="344">
        <f t="shared" si="71"/>
        <v>0</v>
      </c>
      <c r="AK42" s="344">
        <f t="shared" si="71"/>
        <v>0</v>
      </c>
      <c r="AL42" s="35">
        <f t="shared" si="71"/>
        <v>-0.01</v>
      </c>
      <c r="AM42" s="346">
        <f t="shared" si="71"/>
        <v>5341467</v>
      </c>
      <c r="AN42" s="343">
        <f t="shared" si="71"/>
        <v>3937698</v>
      </c>
      <c r="AO42" s="343">
        <f t="shared" si="71"/>
        <v>25000</v>
      </c>
      <c r="AP42" s="343">
        <f t="shared" si="71"/>
        <v>1339392</v>
      </c>
      <c r="AQ42" s="343">
        <f t="shared" si="71"/>
        <v>39377</v>
      </c>
      <c r="AR42" s="343">
        <f t="shared" si="71"/>
        <v>0</v>
      </c>
      <c r="AS42" s="344">
        <f t="shared" si="71"/>
        <v>6.58</v>
      </c>
    </row>
    <row r="43" spans="1:45" x14ac:dyDescent="0.2">
      <c r="A43" s="136">
        <v>10</v>
      </c>
      <c r="B43" s="137">
        <v>3429</v>
      </c>
      <c r="C43" s="137">
        <v>600078256</v>
      </c>
      <c r="D43" s="137">
        <v>43257151</v>
      </c>
      <c r="E43" s="135" t="s">
        <v>132</v>
      </c>
      <c r="F43" s="137">
        <v>3113</v>
      </c>
      <c r="G43" s="138" t="s">
        <v>280</v>
      </c>
      <c r="H43" s="558" t="s">
        <v>262</v>
      </c>
      <c r="I43" s="580">
        <v>15197641</v>
      </c>
      <c r="J43" s="490">
        <v>11274215</v>
      </c>
      <c r="K43" s="490">
        <v>0</v>
      </c>
      <c r="L43" s="55">
        <v>3810684</v>
      </c>
      <c r="M43" s="55">
        <v>112742</v>
      </c>
      <c r="N43" s="55">
        <v>0</v>
      </c>
      <c r="O43" s="614">
        <v>14.5</v>
      </c>
      <c r="P43" s="445">
        <f>W43*-1</f>
        <v>0</v>
      </c>
      <c r="Q43" s="325">
        <v>0</v>
      </c>
      <c r="R43" s="325">
        <v>0</v>
      </c>
      <c r="S43" s="325">
        <v>0</v>
      </c>
      <c r="T43" s="325">
        <v>0</v>
      </c>
      <c r="U43" s="325">
        <v>0</v>
      </c>
      <c r="V43" s="492">
        <f t="shared" ref="V43:V45" si="72">P43+Q43+R43+S43+T43+U43</f>
        <v>0</v>
      </c>
      <c r="W43" s="325">
        <v>0</v>
      </c>
      <c r="X43" s="325">
        <v>0</v>
      </c>
      <c r="Y43" s="325">
        <v>0</v>
      </c>
      <c r="Z43" s="492">
        <f t="shared" ref="Z43:Z45" si="73">W43+X43+Y43</f>
        <v>0</v>
      </c>
      <c r="AA43" s="492">
        <f t="shared" ref="AA43:AA45" si="74">V43+Z43</f>
        <v>0</v>
      </c>
      <c r="AB43" s="494">
        <f t="shared" ref="AB43:AB45" si="75">ROUND((V43+Z43)*33.8%,0)</f>
        <v>0</v>
      </c>
      <c r="AC43" s="494">
        <f t="shared" ref="AC43:AC45" si="76">ROUND(V43*1%,0)</f>
        <v>0</v>
      </c>
      <c r="AD43" s="492">
        <v>0</v>
      </c>
      <c r="AE43" s="492">
        <f t="shared" ref="AE43:AE45" si="77">AA43+AB43+AC43+AD43</f>
        <v>0</v>
      </c>
      <c r="AF43" s="326">
        <v>0</v>
      </c>
      <c r="AG43" s="326">
        <v>0</v>
      </c>
      <c r="AH43" s="326">
        <v>0</v>
      </c>
      <c r="AI43" s="326">
        <v>0</v>
      </c>
      <c r="AJ43" s="326">
        <v>0</v>
      </c>
      <c r="AK43" s="326">
        <v>0</v>
      </c>
      <c r="AL43" s="491">
        <f t="shared" ref="AL43:AL45" si="78">SUM(AF43:AK43)</f>
        <v>0</v>
      </c>
      <c r="AM43" s="492">
        <f>I43+AE43</f>
        <v>15197641</v>
      </c>
      <c r="AN43" s="492">
        <f>J43+V43</f>
        <v>11274215</v>
      </c>
      <c r="AO43" s="573">
        <f t="shared" ref="AO43:AO45" si="79">K43+Z43</f>
        <v>0</v>
      </c>
      <c r="AP43" s="492">
        <f t="shared" ref="AP43:AR45" si="80">L43+AB43</f>
        <v>3810684</v>
      </c>
      <c r="AQ43" s="492">
        <f t="shared" si="80"/>
        <v>112742</v>
      </c>
      <c r="AR43" s="492">
        <f t="shared" si="80"/>
        <v>0</v>
      </c>
      <c r="AS43" s="491">
        <f t="shared" ref="AS43:AS45" si="81">O43+AL43</f>
        <v>14.5</v>
      </c>
    </row>
    <row r="44" spans="1:45" x14ac:dyDescent="0.2">
      <c r="A44" s="136">
        <v>10</v>
      </c>
      <c r="B44" s="137">
        <v>3429</v>
      </c>
      <c r="C44" s="137">
        <v>600078256</v>
      </c>
      <c r="D44" s="137">
        <v>43257151</v>
      </c>
      <c r="E44" s="135" t="s">
        <v>132</v>
      </c>
      <c r="F44" s="137">
        <v>3113</v>
      </c>
      <c r="G44" s="138" t="s">
        <v>278</v>
      </c>
      <c r="H44" s="558" t="s">
        <v>263</v>
      </c>
      <c r="I44" s="580">
        <v>2324119</v>
      </c>
      <c r="J44" s="490">
        <v>1724124</v>
      </c>
      <c r="K44" s="490">
        <v>0</v>
      </c>
      <c r="L44" s="55">
        <v>582754</v>
      </c>
      <c r="M44" s="55">
        <v>17241</v>
      </c>
      <c r="N44" s="55">
        <v>0</v>
      </c>
      <c r="O44" s="614">
        <v>4.33</v>
      </c>
      <c r="P44" s="440">
        <f>W44*-1</f>
        <v>0</v>
      </c>
      <c r="Q44" s="325">
        <v>0</v>
      </c>
      <c r="R44" s="325">
        <v>0</v>
      </c>
      <c r="S44" s="325">
        <v>0</v>
      </c>
      <c r="T44" s="325">
        <v>0</v>
      </c>
      <c r="U44" s="325">
        <v>0</v>
      </c>
      <c r="V44" s="492">
        <f t="shared" si="72"/>
        <v>0</v>
      </c>
      <c r="W44" s="325">
        <v>0</v>
      </c>
      <c r="X44" s="325">
        <v>0</v>
      </c>
      <c r="Y44" s="325">
        <v>0</v>
      </c>
      <c r="Z44" s="492">
        <f t="shared" si="73"/>
        <v>0</v>
      </c>
      <c r="AA44" s="492">
        <f t="shared" si="74"/>
        <v>0</v>
      </c>
      <c r="AB44" s="494">
        <f t="shared" si="75"/>
        <v>0</v>
      </c>
      <c r="AC44" s="494">
        <f t="shared" si="76"/>
        <v>0</v>
      </c>
      <c r="AD44" s="492">
        <v>0</v>
      </c>
      <c r="AE44" s="492">
        <f t="shared" si="77"/>
        <v>0</v>
      </c>
      <c r="AF44" s="326">
        <v>0</v>
      </c>
      <c r="AG44" s="326">
        <v>0</v>
      </c>
      <c r="AH44" s="326">
        <v>0</v>
      </c>
      <c r="AI44" s="326">
        <v>0</v>
      </c>
      <c r="AJ44" s="326">
        <v>0</v>
      </c>
      <c r="AK44" s="326">
        <v>0</v>
      </c>
      <c r="AL44" s="491">
        <f t="shared" si="78"/>
        <v>0</v>
      </c>
      <c r="AM44" s="492">
        <f>I44+AE44</f>
        <v>2324119</v>
      </c>
      <c r="AN44" s="492">
        <f>J44+V44</f>
        <v>1724124</v>
      </c>
      <c r="AO44" s="573">
        <f t="shared" si="79"/>
        <v>0</v>
      </c>
      <c r="AP44" s="492">
        <f t="shared" si="80"/>
        <v>582754</v>
      </c>
      <c r="AQ44" s="492">
        <f t="shared" si="80"/>
        <v>17241</v>
      </c>
      <c r="AR44" s="492">
        <f t="shared" si="80"/>
        <v>0</v>
      </c>
      <c r="AS44" s="491">
        <f t="shared" si="81"/>
        <v>4.33</v>
      </c>
    </row>
    <row r="45" spans="1:45" s="3" customFormat="1" x14ac:dyDescent="0.2">
      <c r="A45" s="136">
        <v>10</v>
      </c>
      <c r="B45" s="137">
        <v>3429</v>
      </c>
      <c r="C45" s="137">
        <v>600078256</v>
      </c>
      <c r="D45" s="137">
        <v>43257151</v>
      </c>
      <c r="E45" s="135" t="s">
        <v>132</v>
      </c>
      <c r="F45" s="137">
        <v>3143</v>
      </c>
      <c r="G45" s="138" t="s">
        <v>794</v>
      </c>
      <c r="H45" s="157" t="s">
        <v>262</v>
      </c>
      <c r="I45" s="580">
        <v>1771161</v>
      </c>
      <c r="J45" s="490">
        <v>1224585</v>
      </c>
      <c r="K45" s="490">
        <v>90000</v>
      </c>
      <c r="L45" s="55">
        <v>444330</v>
      </c>
      <c r="M45" s="55">
        <v>12246</v>
      </c>
      <c r="N45" s="55">
        <v>0</v>
      </c>
      <c r="O45" s="614">
        <v>2.61</v>
      </c>
      <c r="P45" s="440">
        <f>W45*-1</f>
        <v>-60000</v>
      </c>
      <c r="Q45" s="325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 t="shared" si="72"/>
        <v>-60000</v>
      </c>
      <c r="W45" s="325">
        <v>60000</v>
      </c>
      <c r="X45" s="325">
        <v>0</v>
      </c>
      <c r="Y45" s="325">
        <v>0</v>
      </c>
      <c r="Z45" s="492">
        <f t="shared" si="73"/>
        <v>60000</v>
      </c>
      <c r="AA45" s="492">
        <f t="shared" si="74"/>
        <v>0</v>
      </c>
      <c r="AB45" s="494">
        <f t="shared" si="75"/>
        <v>0</v>
      </c>
      <c r="AC45" s="494">
        <f t="shared" si="76"/>
        <v>-600</v>
      </c>
      <c r="AD45" s="492">
        <v>0</v>
      </c>
      <c r="AE45" s="492">
        <f t="shared" si="77"/>
        <v>-600</v>
      </c>
      <c r="AF45" s="326">
        <v>0</v>
      </c>
      <c r="AG45" s="326">
        <v>0</v>
      </c>
      <c r="AH45" s="326">
        <v>0</v>
      </c>
      <c r="AI45" s="326">
        <v>0</v>
      </c>
      <c r="AJ45" s="326">
        <v>0</v>
      </c>
      <c r="AK45" s="326">
        <v>0</v>
      </c>
      <c r="AL45" s="491">
        <f t="shared" si="78"/>
        <v>0</v>
      </c>
      <c r="AM45" s="492">
        <f>I45+AE45</f>
        <v>1770561</v>
      </c>
      <c r="AN45" s="492">
        <f>J45+V45</f>
        <v>1164585</v>
      </c>
      <c r="AO45" s="573">
        <f t="shared" si="79"/>
        <v>150000</v>
      </c>
      <c r="AP45" s="492">
        <f t="shared" si="80"/>
        <v>444330</v>
      </c>
      <c r="AQ45" s="492">
        <f t="shared" si="80"/>
        <v>11646</v>
      </c>
      <c r="AR45" s="492">
        <f t="shared" si="80"/>
        <v>0</v>
      </c>
      <c r="AS45" s="491">
        <f t="shared" si="81"/>
        <v>2.61</v>
      </c>
    </row>
    <row r="46" spans="1:45" x14ac:dyDescent="0.2">
      <c r="A46" s="107">
        <v>10</v>
      </c>
      <c r="B46" s="15">
        <v>3429</v>
      </c>
      <c r="C46" s="15">
        <v>600078256</v>
      </c>
      <c r="D46" s="15">
        <v>43257151</v>
      </c>
      <c r="E46" s="116" t="s">
        <v>133</v>
      </c>
      <c r="F46" s="15"/>
      <c r="G46" s="106"/>
      <c r="H46" s="555"/>
      <c r="I46" s="758">
        <v>19292921</v>
      </c>
      <c r="J46" s="343">
        <v>14222924</v>
      </c>
      <c r="K46" s="343">
        <v>90000</v>
      </c>
      <c r="L46" s="343">
        <v>4837768</v>
      </c>
      <c r="M46" s="343">
        <v>142229</v>
      </c>
      <c r="N46" s="343">
        <v>0</v>
      </c>
      <c r="O46" s="35">
        <v>21.439999999999998</v>
      </c>
      <c r="P46" s="346">
        <f t="shared" ref="P46:AS46" si="82">SUM(P43:P45)</f>
        <v>-60000</v>
      </c>
      <c r="Q46" s="343">
        <f t="shared" si="82"/>
        <v>0</v>
      </c>
      <c r="R46" s="343">
        <f t="shared" si="82"/>
        <v>0</v>
      </c>
      <c r="S46" s="343">
        <f t="shared" si="82"/>
        <v>0</v>
      </c>
      <c r="T46" s="343">
        <f t="shared" si="82"/>
        <v>0</v>
      </c>
      <c r="U46" s="343">
        <f t="shared" si="82"/>
        <v>0</v>
      </c>
      <c r="V46" s="343">
        <f t="shared" si="82"/>
        <v>-60000</v>
      </c>
      <c r="W46" s="343">
        <f t="shared" si="82"/>
        <v>60000</v>
      </c>
      <c r="X46" s="343">
        <f t="shared" si="82"/>
        <v>0</v>
      </c>
      <c r="Y46" s="343">
        <f t="shared" si="82"/>
        <v>0</v>
      </c>
      <c r="Z46" s="343">
        <f t="shared" si="82"/>
        <v>60000</v>
      </c>
      <c r="AA46" s="343">
        <f t="shared" si="82"/>
        <v>0</v>
      </c>
      <c r="AB46" s="343">
        <f t="shared" si="82"/>
        <v>0</v>
      </c>
      <c r="AC46" s="343">
        <f t="shared" si="82"/>
        <v>-600</v>
      </c>
      <c r="AD46" s="343">
        <f t="shared" si="82"/>
        <v>0</v>
      </c>
      <c r="AE46" s="343">
        <f t="shared" si="82"/>
        <v>-600</v>
      </c>
      <c r="AF46" s="344">
        <f t="shared" si="82"/>
        <v>0</v>
      </c>
      <c r="AG46" s="344">
        <f t="shared" si="82"/>
        <v>0</v>
      </c>
      <c r="AH46" s="344">
        <f t="shared" si="82"/>
        <v>0</v>
      </c>
      <c r="AI46" s="344">
        <f t="shared" si="82"/>
        <v>0</v>
      </c>
      <c r="AJ46" s="344">
        <f t="shared" si="82"/>
        <v>0</v>
      </c>
      <c r="AK46" s="344">
        <f t="shared" si="82"/>
        <v>0</v>
      </c>
      <c r="AL46" s="35">
        <f t="shared" si="82"/>
        <v>0</v>
      </c>
      <c r="AM46" s="346">
        <f t="shared" si="82"/>
        <v>19292321</v>
      </c>
      <c r="AN46" s="343">
        <f t="shared" si="82"/>
        <v>14162924</v>
      </c>
      <c r="AO46" s="343">
        <f t="shared" si="82"/>
        <v>150000</v>
      </c>
      <c r="AP46" s="343">
        <f t="shared" si="82"/>
        <v>4837768</v>
      </c>
      <c r="AQ46" s="343">
        <f t="shared" si="82"/>
        <v>141629</v>
      </c>
      <c r="AR46" s="343">
        <f t="shared" si="82"/>
        <v>0</v>
      </c>
      <c r="AS46" s="344">
        <f t="shared" si="82"/>
        <v>21.439999999999998</v>
      </c>
    </row>
    <row r="47" spans="1:45" x14ac:dyDescent="0.2">
      <c r="A47" s="136">
        <v>11</v>
      </c>
      <c r="B47" s="137">
        <v>3405</v>
      </c>
      <c r="C47" s="137">
        <v>600078337</v>
      </c>
      <c r="D47" s="137">
        <v>70698325</v>
      </c>
      <c r="E47" s="135" t="s">
        <v>134</v>
      </c>
      <c r="F47" s="137">
        <v>3111</v>
      </c>
      <c r="G47" s="138" t="s">
        <v>277</v>
      </c>
      <c r="H47" s="558" t="s">
        <v>262</v>
      </c>
      <c r="I47" s="580">
        <v>1519536</v>
      </c>
      <c r="J47" s="490">
        <v>1127252</v>
      </c>
      <c r="K47" s="490">
        <v>0</v>
      </c>
      <c r="L47" s="55">
        <v>381011</v>
      </c>
      <c r="M47" s="55">
        <v>11273</v>
      </c>
      <c r="N47" s="55">
        <v>0</v>
      </c>
      <c r="O47" s="614">
        <v>1.85</v>
      </c>
      <c r="P47" s="445">
        <f>W47*-1</f>
        <v>0</v>
      </c>
      <c r="Q47" s="325">
        <v>0</v>
      </c>
      <c r="R47" s="325">
        <v>0</v>
      </c>
      <c r="S47" s="325">
        <v>0</v>
      </c>
      <c r="T47" s="325">
        <v>0</v>
      </c>
      <c r="U47" s="325">
        <v>0</v>
      </c>
      <c r="V47" s="492">
        <f t="shared" ref="V47:V50" si="83">P47+Q47+R47+S47+T47+U47</f>
        <v>0</v>
      </c>
      <c r="W47" s="325">
        <v>0</v>
      </c>
      <c r="X47" s="325">
        <v>0</v>
      </c>
      <c r="Y47" s="325">
        <v>0</v>
      </c>
      <c r="Z47" s="492">
        <f t="shared" ref="Z47:Z50" si="84">W47+X47+Y47</f>
        <v>0</v>
      </c>
      <c r="AA47" s="492">
        <f t="shared" ref="AA47:AA50" si="85">V47+Z47</f>
        <v>0</v>
      </c>
      <c r="AB47" s="494">
        <f t="shared" ref="AB47:AB50" si="86">ROUND((V47+Z47)*33.8%,0)</f>
        <v>0</v>
      </c>
      <c r="AC47" s="494">
        <f t="shared" ref="AC47:AC50" si="87">ROUND(V47*1%,0)</f>
        <v>0</v>
      </c>
      <c r="AD47" s="492">
        <v>0</v>
      </c>
      <c r="AE47" s="492">
        <f t="shared" ref="AE47:AE50" si="88">AA47+AB47+AC47+AD47</f>
        <v>0</v>
      </c>
      <c r="AF47" s="326">
        <v>0</v>
      </c>
      <c r="AG47" s="326">
        <v>0</v>
      </c>
      <c r="AH47" s="326">
        <v>0</v>
      </c>
      <c r="AI47" s="326">
        <v>0</v>
      </c>
      <c r="AJ47" s="326">
        <v>0</v>
      </c>
      <c r="AK47" s="326">
        <v>0</v>
      </c>
      <c r="AL47" s="491">
        <f t="shared" ref="AL47:AL50" si="89">SUM(AF47:AK47)</f>
        <v>0</v>
      </c>
      <c r="AM47" s="492">
        <f>I47+AE47</f>
        <v>1519536</v>
      </c>
      <c r="AN47" s="492">
        <f>J47+V47</f>
        <v>1127252</v>
      </c>
      <c r="AO47" s="573">
        <f t="shared" ref="AO47:AO50" si="90">K47+Z47</f>
        <v>0</v>
      </c>
      <c r="AP47" s="492">
        <f t="shared" ref="AP47:AR50" si="91">L47+AB47</f>
        <v>381011</v>
      </c>
      <c r="AQ47" s="492">
        <f t="shared" si="91"/>
        <v>11273</v>
      </c>
      <c r="AR47" s="492">
        <f t="shared" si="91"/>
        <v>0</v>
      </c>
      <c r="AS47" s="491">
        <f t="shared" ref="AS47:AS50" si="92">O47+AL47</f>
        <v>1.85</v>
      </c>
    </row>
    <row r="48" spans="1:45" x14ac:dyDescent="0.2">
      <c r="A48" s="136">
        <v>11</v>
      </c>
      <c r="B48" s="137">
        <v>3405</v>
      </c>
      <c r="C48" s="137">
        <v>600078337</v>
      </c>
      <c r="D48" s="137">
        <v>70698325</v>
      </c>
      <c r="E48" s="135" t="s">
        <v>134</v>
      </c>
      <c r="F48" s="137">
        <v>3117</v>
      </c>
      <c r="G48" s="138" t="s">
        <v>280</v>
      </c>
      <c r="H48" s="558" t="s">
        <v>262</v>
      </c>
      <c r="I48" s="580">
        <v>1622716</v>
      </c>
      <c r="J48" s="490">
        <v>1203796</v>
      </c>
      <c r="K48" s="490">
        <v>0</v>
      </c>
      <c r="L48" s="55">
        <v>406883</v>
      </c>
      <c r="M48" s="55">
        <v>12037</v>
      </c>
      <c r="N48" s="55">
        <v>0</v>
      </c>
      <c r="O48" s="614">
        <v>1.7</v>
      </c>
      <c r="P48" s="440">
        <f>W48*-1</f>
        <v>0</v>
      </c>
      <c r="Q48" s="325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 t="shared" si="83"/>
        <v>0</v>
      </c>
      <c r="W48" s="325">
        <v>0</v>
      </c>
      <c r="X48" s="325">
        <v>0</v>
      </c>
      <c r="Y48" s="325">
        <v>0</v>
      </c>
      <c r="Z48" s="492">
        <f t="shared" si="84"/>
        <v>0</v>
      </c>
      <c r="AA48" s="492">
        <f t="shared" si="85"/>
        <v>0</v>
      </c>
      <c r="AB48" s="494">
        <f t="shared" si="86"/>
        <v>0</v>
      </c>
      <c r="AC48" s="494">
        <f t="shared" si="87"/>
        <v>0</v>
      </c>
      <c r="AD48" s="492">
        <v>0</v>
      </c>
      <c r="AE48" s="492">
        <f t="shared" si="88"/>
        <v>0</v>
      </c>
      <c r="AF48" s="326">
        <v>0</v>
      </c>
      <c r="AG48" s="326">
        <v>0</v>
      </c>
      <c r="AH48" s="326">
        <v>0</v>
      </c>
      <c r="AI48" s="326">
        <v>0</v>
      </c>
      <c r="AJ48" s="326">
        <v>0</v>
      </c>
      <c r="AK48" s="326">
        <v>0</v>
      </c>
      <c r="AL48" s="491">
        <f t="shared" si="89"/>
        <v>0</v>
      </c>
      <c r="AM48" s="492">
        <f>I48+AE48</f>
        <v>1622716</v>
      </c>
      <c r="AN48" s="492">
        <f>J48+V48</f>
        <v>1203796</v>
      </c>
      <c r="AO48" s="573">
        <f t="shared" si="90"/>
        <v>0</v>
      </c>
      <c r="AP48" s="492">
        <f t="shared" si="91"/>
        <v>406883</v>
      </c>
      <c r="AQ48" s="492">
        <f t="shared" si="91"/>
        <v>12037</v>
      </c>
      <c r="AR48" s="492">
        <f t="shared" si="91"/>
        <v>0</v>
      </c>
      <c r="AS48" s="491">
        <f t="shared" si="92"/>
        <v>1.7</v>
      </c>
    </row>
    <row r="49" spans="1:45" x14ac:dyDescent="0.2">
      <c r="A49" s="136">
        <v>11</v>
      </c>
      <c r="B49" s="137">
        <v>3405</v>
      </c>
      <c r="C49" s="137">
        <v>600078337</v>
      </c>
      <c r="D49" s="137">
        <v>70698325</v>
      </c>
      <c r="E49" s="135" t="s">
        <v>134</v>
      </c>
      <c r="F49" s="137">
        <v>3117</v>
      </c>
      <c r="G49" s="138" t="s">
        <v>278</v>
      </c>
      <c r="H49" s="558" t="s">
        <v>263</v>
      </c>
      <c r="I49" s="580">
        <v>936163</v>
      </c>
      <c r="J49" s="490">
        <v>694483</v>
      </c>
      <c r="K49" s="490">
        <v>0</v>
      </c>
      <c r="L49" s="55">
        <v>234735</v>
      </c>
      <c r="M49" s="55">
        <v>6945</v>
      </c>
      <c r="N49" s="55">
        <v>0</v>
      </c>
      <c r="O49" s="614">
        <v>1.75</v>
      </c>
      <c r="P49" s="440">
        <f>W49*-1</f>
        <v>0</v>
      </c>
      <c r="Q49" s="325">
        <v>0</v>
      </c>
      <c r="R49" s="325">
        <v>0</v>
      </c>
      <c r="S49" s="325">
        <v>0</v>
      </c>
      <c r="T49" s="325">
        <v>0</v>
      </c>
      <c r="U49" s="325">
        <v>0</v>
      </c>
      <c r="V49" s="492">
        <f t="shared" si="83"/>
        <v>0</v>
      </c>
      <c r="W49" s="325">
        <v>0</v>
      </c>
      <c r="X49" s="325">
        <v>0</v>
      </c>
      <c r="Y49" s="325">
        <v>0</v>
      </c>
      <c r="Z49" s="492">
        <f t="shared" si="84"/>
        <v>0</v>
      </c>
      <c r="AA49" s="492">
        <f t="shared" si="85"/>
        <v>0</v>
      </c>
      <c r="AB49" s="494">
        <f t="shared" si="86"/>
        <v>0</v>
      </c>
      <c r="AC49" s="494">
        <f t="shared" si="87"/>
        <v>0</v>
      </c>
      <c r="AD49" s="492">
        <v>0</v>
      </c>
      <c r="AE49" s="492">
        <f t="shared" si="88"/>
        <v>0</v>
      </c>
      <c r="AF49" s="326">
        <v>0</v>
      </c>
      <c r="AG49" s="326">
        <v>0</v>
      </c>
      <c r="AH49" s="326">
        <v>0</v>
      </c>
      <c r="AI49" s="326">
        <v>0</v>
      </c>
      <c r="AJ49" s="326">
        <v>0</v>
      </c>
      <c r="AK49" s="326">
        <v>0</v>
      </c>
      <c r="AL49" s="491">
        <f t="shared" si="89"/>
        <v>0</v>
      </c>
      <c r="AM49" s="492">
        <f>I49+AE49</f>
        <v>936163</v>
      </c>
      <c r="AN49" s="492">
        <f>J49+V49</f>
        <v>694483</v>
      </c>
      <c r="AO49" s="573">
        <f t="shared" si="90"/>
        <v>0</v>
      </c>
      <c r="AP49" s="492">
        <f t="shared" si="91"/>
        <v>234735</v>
      </c>
      <c r="AQ49" s="492">
        <f t="shared" si="91"/>
        <v>6945</v>
      </c>
      <c r="AR49" s="492">
        <f t="shared" si="91"/>
        <v>0</v>
      </c>
      <c r="AS49" s="491">
        <f t="shared" si="92"/>
        <v>1.75</v>
      </c>
    </row>
    <row r="50" spans="1:45" x14ac:dyDescent="0.2">
      <c r="A50" s="136">
        <v>11</v>
      </c>
      <c r="B50" s="137">
        <v>3405</v>
      </c>
      <c r="C50" s="137">
        <v>600078337</v>
      </c>
      <c r="D50" s="137">
        <v>70698325</v>
      </c>
      <c r="E50" s="135" t="s">
        <v>134</v>
      </c>
      <c r="F50" s="137">
        <v>3143</v>
      </c>
      <c r="G50" s="138" t="s">
        <v>794</v>
      </c>
      <c r="H50" s="157" t="s">
        <v>262</v>
      </c>
      <c r="I50" s="580">
        <v>376610</v>
      </c>
      <c r="J50" s="490">
        <v>279384</v>
      </c>
      <c r="K50" s="490">
        <v>0</v>
      </c>
      <c r="L50" s="55">
        <v>94432</v>
      </c>
      <c r="M50" s="55">
        <v>2794</v>
      </c>
      <c r="N50" s="55">
        <v>0</v>
      </c>
      <c r="O50" s="614">
        <v>0.56000000000000005</v>
      </c>
      <c r="P50" s="440">
        <f>W50*-1</f>
        <v>0</v>
      </c>
      <c r="Q50" s="325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 t="shared" si="83"/>
        <v>0</v>
      </c>
      <c r="W50" s="325">
        <v>0</v>
      </c>
      <c r="X50" s="325">
        <v>0</v>
      </c>
      <c r="Y50" s="325">
        <v>0</v>
      </c>
      <c r="Z50" s="492">
        <f t="shared" si="84"/>
        <v>0</v>
      </c>
      <c r="AA50" s="492">
        <f t="shared" si="85"/>
        <v>0</v>
      </c>
      <c r="AB50" s="494">
        <f t="shared" si="86"/>
        <v>0</v>
      </c>
      <c r="AC50" s="494">
        <f t="shared" si="87"/>
        <v>0</v>
      </c>
      <c r="AD50" s="492">
        <v>0</v>
      </c>
      <c r="AE50" s="492">
        <f t="shared" si="88"/>
        <v>0</v>
      </c>
      <c r="AF50" s="326">
        <v>0</v>
      </c>
      <c r="AG50" s="326">
        <v>0</v>
      </c>
      <c r="AH50" s="326">
        <v>0</v>
      </c>
      <c r="AI50" s="326">
        <v>0</v>
      </c>
      <c r="AJ50" s="326">
        <v>0</v>
      </c>
      <c r="AK50" s="326">
        <v>0</v>
      </c>
      <c r="AL50" s="491">
        <f t="shared" si="89"/>
        <v>0</v>
      </c>
      <c r="AM50" s="492">
        <f>I50+AE50</f>
        <v>376610</v>
      </c>
      <c r="AN50" s="492">
        <f>J50+V50</f>
        <v>279384</v>
      </c>
      <c r="AO50" s="573">
        <f t="shared" si="90"/>
        <v>0</v>
      </c>
      <c r="AP50" s="492">
        <f t="shared" si="91"/>
        <v>94432</v>
      </c>
      <c r="AQ50" s="492">
        <f t="shared" si="91"/>
        <v>2794</v>
      </c>
      <c r="AR50" s="492">
        <f t="shared" si="91"/>
        <v>0</v>
      </c>
      <c r="AS50" s="491">
        <f t="shared" si="92"/>
        <v>0.56000000000000005</v>
      </c>
    </row>
    <row r="51" spans="1:45" x14ac:dyDescent="0.2">
      <c r="A51" s="107">
        <v>11</v>
      </c>
      <c r="B51" s="15">
        <v>3405</v>
      </c>
      <c r="C51" s="15">
        <v>600078337</v>
      </c>
      <c r="D51" s="15">
        <v>70698325</v>
      </c>
      <c r="E51" s="116" t="s">
        <v>135</v>
      </c>
      <c r="F51" s="15"/>
      <c r="G51" s="106"/>
      <c r="H51" s="555"/>
      <c r="I51" s="758">
        <v>4455025</v>
      </c>
      <c r="J51" s="343">
        <v>3304915</v>
      </c>
      <c r="K51" s="343">
        <v>0</v>
      </c>
      <c r="L51" s="343">
        <v>1117061</v>
      </c>
      <c r="M51" s="343">
        <v>33049</v>
      </c>
      <c r="N51" s="343">
        <v>0</v>
      </c>
      <c r="O51" s="35">
        <v>5.8599999999999994</v>
      </c>
      <c r="P51" s="346">
        <f t="shared" ref="P51:AS51" si="93">SUM(P47:P50)</f>
        <v>0</v>
      </c>
      <c r="Q51" s="343">
        <f t="shared" si="93"/>
        <v>0</v>
      </c>
      <c r="R51" s="343">
        <f t="shared" si="93"/>
        <v>0</v>
      </c>
      <c r="S51" s="343">
        <f t="shared" si="93"/>
        <v>0</v>
      </c>
      <c r="T51" s="343">
        <f t="shared" si="93"/>
        <v>0</v>
      </c>
      <c r="U51" s="343">
        <f t="shared" si="93"/>
        <v>0</v>
      </c>
      <c r="V51" s="343">
        <f t="shared" si="93"/>
        <v>0</v>
      </c>
      <c r="W51" s="343">
        <f t="shared" si="93"/>
        <v>0</v>
      </c>
      <c r="X51" s="343">
        <f t="shared" si="93"/>
        <v>0</v>
      </c>
      <c r="Y51" s="343">
        <f t="shared" si="93"/>
        <v>0</v>
      </c>
      <c r="Z51" s="343">
        <f t="shared" si="93"/>
        <v>0</v>
      </c>
      <c r="AA51" s="343">
        <f t="shared" si="93"/>
        <v>0</v>
      </c>
      <c r="AB51" s="343">
        <f t="shared" si="93"/>
        <v>0</v>
      </c>
      <c r="AC51" s="343">
        <f t="shared" si="93"/>
        <v>0</v>
      </c>
      <c r="AD51" s="343">
        <f t="shared" si="93"/>
        <v>0</v>
      </c>
      <c r="AE51" s="343">
        <f t="shared" si="93"/>
        <v>0</v>
      </c>
      <c r="AF51" s="344">
        <f t="shared" si="93"/>
        <v>0</v>
      </c>
      <c r="AG51" s="344">
        <f t="shared" si="93"/>
        <v>0</v>
      </c>
      <c r="AH51" s="344">
        <f t="shared" si="93"/>
        <v>0</v>
      </c>
      <c r="AI51" s="344">
        <f t="shared" si="93"/>
        <v>0</v>
      </c>
      <c r="AJ51" s="344">
        <f t="shared" si="93"/>
        <v>0</v>
      </c>
      <c r="AK51" s="344">
        <f t="shared" si="93"/>
        <v>0</v>
      </c>
      <c r="AL51" s="35">
        <f t="shared" si="93"/>
        <v>0</v>
      </c>
      <c r="AM51" s="346">
        <f t="shared" si="93"/>
        <v>4455025</v>
      </c>
      <c r="AN51" s="343">
        <f t="shared" si="93"/>
        <v>3304915</v>
      </c>
      <c r="AO51" s="343">
        <f t="shared" si="93"/>
        <v>0</v>
      </c>
      <c r="AP51" s="343">
        <f t="shared" si="93"/>
        <v>1117061</v>
      </c>
      <c r="AQ51" s="343">
        <f t="shared" si="93"/>
        <v>33049</v>
      </c>
      <c r="AR51" s="343">
        <f t="shared" si="93"/>
        <v>0</v>
      </c>
      <c r="AS51" s="344">
        <f t="shared" si="93"/>
        <v>5.8599999999999994</v>
      </c>
    </row>
    <row r="52" spans="1:45" x14ac:dyDescent="0.2">
      <c r="A52" s="136">
        <v>12</v>
      </c>
      <c r="B52" s="137">
        <v>3444</v>
      </c>
      <c r="C52" s="137">
        <v>600078086</v>
      </c>
      <c r="D52" s="137">
        <v>16389573</v>
      </c>
      <c r="E52" s="135" t="s">
        <v>136</v>
      </c>
      <c r="F52" s="137">
        <v>3111</v>
      </c>
      <c r="G52" s="138" t="s">
        <v>277</v>
      </c>
      <c r="H52" s="558" t="s">
        <v>262</v>
      </c>
      <c r="I52" s="580">
        <v>3180613</v>
      </c>
      <c r="J52" s="490">
        <v>2359505</v>
      </c>
      <c r="K52" s="490">
        <v>0</v>
      </c>
      <c r="L52" s="55">
        <v>797513</v>
      </c>
      <c r="M52" s="55">
        <v>23595</v>
      </c>
      <c r="N52" s="55">
        <v>0</v>
      </c>
      <c r="O52" s="614">
        <v>3.9</v>
      </c>
      <c r="P52" s="445">
        <f>W52*-1</f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0</v>
      </c>
      <c r="V52" s="492">
        <f>P52+Q52+R52+S52+T52+U52</f>
        <v>0</v>
      </c>
      <c r="W52" s="325">
        <v>0</v>
      </c>
      <c r="X52" s="325">
        <v>0</v>
      </c>
      <c r="Y52" s="325">
        <v>0</v>
      </c>
      <c r="Z52" s="492">
        <f>W52+X52+Y52</f>
        <v>0</v>
      </c>
      <c r="AA52" s="492">
        <f>V52+Z52</f>
        <v>0</v>
      </c>
      <c r="AB52" s="494">
        <f>ROUND((V52+Z52)*33.8%,0)</f>
        <v>0</v>
      </c>
      <c r="AC52" s="494">
        <f>ROUND(V52*1%,0)</f>
        <v>0</v>
      </c>
      <c r="AD52" s="492">
        <v>0</v>
      </c>
      <c r="AE52" s="492">
        <f>AA52+AB52+AC52+AD52</f>
        <v>0</v>
      </c>
      <c r="AF52" s="326">
        <v>0</v>
      </c>
      <c r="AG52" s="326">
        <v>0</v>
      </c>
      <c r="AH52" s="326">
        <v>0</v>
      </c>
      <c r="AI52" s="326">
        <v>0</v>
      </c>
      <c r="AJ52" s="326">
        <v>0</v>
      </c>
      <c r="AK52" s="326">
        <v>0</v>
      </c>
      <c r="AL52" s="491">
        <f>SUM(AF52:AK52)</f>
        <v>0</v>
      </c>
      <c r="AM52" s="492">
        <f>I52+AE52</f>
        <v>3180613</v>
      </c>
      <c r="AN52" s="492">
        <f>J52+V52</f>
        <v>2359505</v>
      </c>
      <c r="AO52" s="573">
        <f>K52+Z52</f>
        <v>0</v>
      </c>
      <c r="AP52" s="492">
        <f>L52+AB52</f>
        <v>797513</v>
      </c>
      <c r="AQ52" s="492">
        <f>M52+AC52</f>
        <v>23595</v>
      </c>
      <c r="AR52" s="492">
        <f>N52+AD52</f>
        <v>0</v>
      </c>
      <c r="AS52" s="491">
        <f>O52+AL52</f>
        <v>3.9</v>
      </c>
    </row>
    <row r="53" spans="1:45" x14ac:dyDescent="0.2">
      <c r="A53" s="107">
        <v>12</v>
      </c>
      <c r="B53" s="15">
        <v>3444</v>
      </c>
      <c r="C53" s="15">
        <v>600078086</v>
      </c>
      <c r="D53" s="15">
        <v>16389573</v>
      </c>
      <c r="E53" s="116" t="s">
        <v>137</v>
      </c>
      <c r="F53" s="15"/>
      <c r="G53" s="106"/>
      <c r="H53" s="555"/>
      <c r="I53" s="758">
        <v>3180613</v>
      </c>
      <c r="J53" s="343">
        <v>2359505</v>
      </c>
      <c r="K53" s="343">
        <v>0</v>
      </c>
      <c r="L53" s="343">
        <v>797513</v>
      </c>
      <c r="M53" s="343">
        <v>23595</v>
      </c>
      <c r="N53" s="343">
        <v>0</v>
      </c>
      <c r="O53" s="35">
        <v>3.9</v>
      </c>
      <c r="P53" s="346">
        <f t="shared" ref="P53:AS53" si="94">SUM(P52:P52)</f>
        <v>0</v>
      </c>
      <c r="Q53" s="343">
        <f t="shared" si="94"/>
        <v>0</v>
      </c>
      <c r="R53" s="343">
        <f t="shared" si="94"/>
        <v>0</v>
      </c>
      <c r="S53" s="343">
        <f t="shared" si="94"/>
        <v>0</v>
      </c>
      <c r="T53" s="343">
        <f t="shared" si="94"/>
        <v>0</v>
      </c>
      <c r="U53" s="343">
        <f t="shared" si="94"/>
        <v>0</v>
      </c>
      <c r="V53" s="343">
        <f t="shared" si="94"/>
        <v>0</v>
      </c>
      <c r="W53" s="343">
        <f t="shared" si="94"/>
        <v>0</v>
      </c>
      <c r="X53" s="343">
        <f t="shared" si="94"/>
        <v>0</v>
      </c>
      <c r="Y53" s="343">
        <f t="shared" si="94"/>
        <v>0</v>
      </c>
      <c r="Z53" s="343">
        <f t="shared" si="94"/>
        <v>0</v>
      </c>
      <c r="AA53" s="343">
        <f t="shared" si="94"/>
        <v>0</v>
      </c>
      <c r="AB53" s="343">
        <f t="shared" si="94"/>
        <v>0</v>
      </c>
      <c r="AC53" s="343">
        <f t="shared" si="94"/>
        <v>0</v>
      </c>
      <c r="AD53" s="343">
        <f t="shared" si="94"/>
        <v>0</v>
      </c>
      <c r="AE53" s="343">
        <f t="shared" si="94"/>
        <v>0</v>
      </c>
      <c r="AF53" s="344">
        <f t="shared" si="94"/>
        <v>0</v>
      </c>
      <c r="AG53" s="344">
        <f t="shared" si="94"/>
        <v>0</v>
      </c>
      <c r="AH53" s="344">
        <f t="shared" si="94"/>
        <v>0</v>
      </c>
      <c r="AI53" s="344">
        <f t="shared" si="94"/>
        <v>0</v>
      </c>
      <c r="AJ53" s="344">
        <f t="shared" si="94"/>
        <v>0</v>
      </c>
      <c r="AK53" s="344">
        <f t="shared" si="94"/>
        <v>0</v>
      </c>
      <c r="AL53" s="35">
        <f t="shared" si="94"/>
        <v>0</v>
      </c>
      <c r="AM53" s="346">
        <f t="shared" si="94"/>
        <v>3180613</v>
      </c>
      <c r="AN53" s="343">
        <f t="shared" si="94"/>
        <v>2359505</v>
      </c>
      <c r="AO53" s="343">
        <f t="shared" si="94"/>
        <v>0</v>
      </c>
      <c r="AP53" s="343">
        <f t="shared" si="94"/>
        <v>797513</v>
      </c>
      <c r="AQ53" s="343">
        <f t="shared" si="94"/>
        <v>23595</v>
      </c>
      <c r="AR53" s="343">
        <f t="shared" si="94"/>
        <v>0</v>
      </c>
      <c r="AS53" s="344">
        <f t="shared" si="94"/>
        <v>3.9</v>
      </c>
    </row>
    <row r="54" spans="1:45" x14ac:dyDescent="0.2">
      <c r="A54" s="136">
        <v>13</v>
      </c>
      <c r="B54" s="137">
        <v>3443</v>
      </c>
      <c r="C54" s="137">
        <v>600078582</v>
      </c>
      <c r="D54" s="137">
        <v>16389581</v>
      </c>
      <c r="E54" s="135" t="s">
        <v>138</v>
      </c>
      <c r="F54" s="137">
        <v>3113</v>
      </c>
      <c r="G54" s="138" t="s">
        <v>280</v>
      </c>
      <c r="H54" s="558" t="s">
        <v>262</v>
      </c>
      <c r="I54" s="580">
        <v>12705310</v>
      </c>
      <c r="J54" s="490">
        <v>9407438</v>
      </c>
      <c r="K54" s="490">
        <v>18000</v>
      </c>
      <c r="L54" s="55">
        <v>3185798</v>
      </c>
      <c r="M54" s="55">
        <v>94074</v>
      </c>
      <c r="N54" s="55">
        <v>0</v>
      </c>
      <c r="O54" s="614">
        <v>13.040000000000001</v>
      </c>
      <c r="P54" s="445">
        <f>W54*-1</f>
        <v>-12000</v>
      </c>
      <c r="Q54" s="325">
        <v>0</v>
      </c>
      <c r="R54" s="325">
        <v>0</v>
      </c>
      <c r="S54" s="325">
        <v>0</v>
      </c>
      <c r="T54" s="325">
        <v>0</v>
      </c>
      <c r="U54" s="325">
        <v>0</v>
      </c>
      <c r="V54" s="492">
        <f t="shared" ref="V54:V56" si="95">P54+Q54+R54+S54+T54+U54</f>
        <v>-12000</v>
      </c>
      <c r="W54" s="325">
        <v>12000</v>
      </c>
      <c r="X54" s="325">
        <v>0</v>
      </c>
      <c r="Y54" s="325">
        <v>0</v>
      </c>
      <c r="Z54" s="492">
        <f t="shared" ref="Z54:Z56" si="96">W54+X54+Y54</f>
        <v>12000</v>
      </c>
      <c r="AA54" s="492">
        <f t="shared" ref="AA54:AA56" si="97">V54+Z54</f>
        <v>0</v>
      </c>
      <c r="AB54" s="494">
        <f t="shared" ref="AB54:AB56" si="98">ROUND((V54+Z54)*33.8%,0)</f>
        <v>0</v>
      </c>
      <c r="AC54" s="494">
        <f t="shared" ref="AC54:AC56" si="99">ROUND(V54*1%,0)</f>
        <v>-120</v>
      </c>
      <c r="AD54" s="492">
        <v>0</v>
      </c>
      <c r="AE54" s="492">
        <f t="shared" ref="AE54:AE56" si="100">AA54+AB54+AC54+AD54</f>
        <v>-120</v>
      </c>
      <c r="AF54" s="326">
        <v>-0.01</v>
      </c>
      <c r="AG54" s="326">
        <v>0</v>
      </c>
      <c r="AH54" s="326">
        <v>0</v>
      </c>
      <c r="AI54" s="326">
        <v>0</v>
      </c>
      <c r="AJ54" s="326">
        <v>0</v>
      </c>
      <c r="AK54" s="326">
        <v>0</v>
      </c>
      <c r="AL54" s="491">
        <f t="shared" ref="AL54:AL56" si="101">SUM(AF54:AK54)</f>
        <v>-0.01</v>
      </c>
      <c r="AM54" s="492">
        <f>I54+AE54</f>
        <v>12705190</v>
      </c>
      <c r="AN54" s="492">
        <f>J54+V54</f>
        <v>9395438</v>
      </c>
      <c r="AO54" s="573">
        <f t="shared" ref="AO54:AO56" si="102">K54+Z54</f>
        <v>30000</v>
      </c>
      <c r="AP54" s="492">
        <f t="shared" ref="AP54:AR56" si="103">L54+AB54</f>
        <v>3185798</v>
      </c>
      <c r="AQ54" s="492">
        <f t="shared" si="103"/>
        <v>93954</v>
      </c>
      <c r="AR54" s="492">
        <f t="shared" si="103"/>
        <v>0</v>
      </c>
      <c r="AS54" s="491">
        <f t="shared" ref="AS54:AS56" si="104">O54+AL54</f>
        <v>13.030000000000001</v>
      </c>
    </row>
    <row r="55" spans="1:45" x14ac:dyDescent="0.2">
      <c r="A55" s="136">
        <v>13</v>
      </c>
      <c r="B55" s="137">
        <v>3443</v>
      </c>
      <c r="C55" s="137">
        <v>600078582</v>
      </c>
      <c r="D55" s="137">
        <v>16389581</v>
      </c>
      <c r="E55" s="135" t="s">
        <v>138</v>
      </c>
      <c r="F55" s="137">
        <v>3113</v>
      </c>
      <c r="G55" s="138" t="s">
        <v>278</v>
      </c>
      <c r="H55" s="558" t="s">
        <v>263</v>
      </c>
      <c r="I55" s="580">
        <v>1774299</v>
      </c>
      <c r="J55" s="490">
        <v>1316246</v>
      </c>
      <c r="K55" s="490">
        <v>0</v>
      </c>
      <c r="L55" s="55">
        <v>444891</v>
      </c>
      <c r="M55" s="55">
        <v>13162</v>
      </c>
      <c r="N55" s="55">
        <v>0</v>
      </c>
      <c r="O55" s="614">
        <v>3.3</v>
      </c>
      <c r="P55" s="440">
        <f>W55*-1</f>
        <v>0</v>
      </c>
      <c r="Q55" s="325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 t="shared" si="95"/>
        <v>0</v>
      </c>
      <c r="W55" s="325">
        <v>0</v>
      </c>
      <c r="X55" s="325">
        <v>0</v>
      </c>
      <c r="Y55" s="325">
        <v>0</v>
      </c>
      <c r="Z55" s="492">
        <f t="shared" si="96"/>
        <v>0</v>
      </c>
      <c r="AA55" s="492">
        <f t="shared" si="97"/>
        <v>0</v>
      </c>
      <c r="AB55" s="494">
        <f t="shared" si="98"/>
        <v>0</v>
      </c>
      <c r="AC55" s="494">
        <f t="shared" si="99"/>
        <v>0</v>
      </c>
      <c r="AD55" s="492">
        <v>0</v>
      </c>
      <c r="AE55" s="492">
        <f t="shared" si="100"/>
        <v>0</v>
      </c>
      <c r="AF55" s="326">
        <v>0</v>
      </c>
      <c r="AG55" s="326">
        <v>0</v>
      </c>
      <c r="AH55" s="326">
        <v>0</v>
      </c>
      <c r="AI55" s="326">
        <v>0</v>
      </c>
      <c r="AJ55" s="326">
        <v>0</v>
      </c>
      <c r="AK55" s="326">
        <v>0</v>
      </c>
      <c r="AL55" s="491">
        <f t="shared" si="101"/>
        <v>0</v>
      </c>
      <c r="AM55" s="492">
        <f>I55+AE55</f>
        <v>1774299</v>
      </c>
      <c r="AN55" s="492">
        <f>J55+V55</f>
        <v>1316246</v>
      </c>
      <c r="AO55" s="573">
        <f t="shared" si="102"/>
        <v>0</v>
      </c>
      <c r="AP55" s="492">
        <f t="shared" si="103"/>
        <v>444891</v>
      </c>
      <c r="AQ55" s="492">
        <f t="shared" si="103"/>
        <v>13162</v>
      </c>
      <c r="AR55" s="492">
        <f t="shared" si="103"/>
        <v>0</v>
      </c>
      <c r="AS55" s="491">
        <f t="shared" si="104"/>
        <v>3.3</v>
      </c>
    </row>
    <row r="56" spans="1:45" x14ac:dyDescent="0.2">
      <c r="A56" s="136">
        <v>13</v>
      </c>
      <c r="B56" s="137">
        <v>3443</v>
      </c>
      <c r="C56" s="137">
        <v>600078582</v>
      </c>
      <c r="D56" s="137">
        <v>16389581</v>
      </c>
      <c r="E56" s="135" t="s">
        <v>138</v>
      </c>
      <c r="F56" s="137">
        <v>3143</v>
      </c>
      <c r="G56" s="138" t="s">
        <v>794</v>
      </c>
      <c r="H56" s="157" t="s">
        <v>262</v>
      </c>
      <c r="I56" s="580">
        <v>925908</v>
      </c>
      <c r="J56" s="490">
        <v>669009</v>
      </c>
      <c r="K56" s="490">
        <v>18000</v>
      </c>
      <c r="L56" s="55">
        <v>232209</v>
      </c>
      <c r="M56" s="55">
        <v>6690</v>
      </c>
      <c r="N56" s="55">
        <v>0</v>
      </c>
      <c r="O56" s="614">
        <v>1.48</v>
      </c>
      <c r="P56" s="440">
        <f>W56*-1</f>
        <v>-12000</v>
      </c>
      <c r="Q56" s="325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 t="shared" si="95"/>
        <v>-12000</v>
      </c>
      <c r="W56" s="325">
        <v>12000</v>
      </c>
      <c r="X56" s="325">
        <v>0</v>
      </c>
      <c r="Y56" s="325">
        <v>0</v>
      </c>
      <c r="Z56" s="492">
        <f t="shared" si="96"/>
        <v>12000</v>
      </c>
      <c r="AA56" s="492">
        <f t="shared" si="97"/>
        <v>0</v>
      </c>
      <c r="AB56" s="494">
        <f t="shared" si="98"/>
        <v>0</v>
      </c>
      <c r="AC56" s="494">
        <f t="shared" si="99"/>
        <v>-120</v>
      </c>
      <c r="AD56" s="492">
        <v>0</v>
      </c>
      <c r="AE56" s="492">
        <f t="shared" si="100"/>
        <v>-120</v>
      </c>
      <c r="AF56" s="326">
        <v>-0.01</v>
      </c>
      <c r="AG56" s="326">
        <v>0</v>
      </c>
      <c r="AH56" s="326">
        <v>0</v>
      </c>
      <c r="AI56" s="326">
        <v>0</v>
      </c>
      <c r="AJ56" s="326">
        <v>0</v>
      </c>
      <c r="AK56" s="326">
        <v>0</v>
      </c>
      <c r="AL56" s="491">
        <f t="shared" si="101"/>
        <v>-0.01</v>
      </c>
      <c r="AM56" s="492">
        <f>I56+AE56</f>
        <v>925788</v>
      </c>
      <c r="AN56" s="492">
        <f>J56+V56</f>
        <v>657009</v>
      </c>
      <c r="AO56" s="573">
        <f t="shared" si="102"/>
        <v>30000</v>
      </c>
      <c r="AP56" s="492">
        <f t="shared" si="103"/>
        <v>232209</v>
      </c>
      <c r="AQ56" s="492">
        <f t="shared" si="103"/>
        <v>6570</v>
      </c>
      <c r="AR56" s="492">
        <f t="shared" si="103"/>
        <v>0</v>
      </c>
      <c r="AS56" s="491">
        <f t="shared" si="104"/>
        <v>1.47</v>
      </c>
    </row>
    <row r="57" spans="1:45" ht="13.5" thickBot="1" x14ac:dyDescent="0.25">
      <c r="A57" s="111">
        <v>13</v>
      </c>
      <c r="B57" s="30">
        <v>3443</v>
      </c>
      <c r="C57" s="30">
        <v>600078582</v>
      </c>
      <c r="D57" s="30">
        <v>16389581</v>
      </c>
      <c r="E57" s="165" t="s">
        <v>139</v>
      </c>
      <c r="F57" s="30"/>
      <c r="G57" s="112"/>
      <c r="H57" s="556"/>
      <c r="I57" s="771">
        <v>15405517</v>
      </c>
      <c r="J57" s="449">
        <v>11392693</v>
      </c>
      <c r="K57" s="449">
        <v>36000</v>
      </c>
      <c r="L57" s="449">
        <v>3862898</v>
      </c>
      <c r="M57" s="449">
        <v>113926</v>
      </c>
      <c r="N57" s="449">
        <v>0</v>
      </c>
      <c r="O57" s="772">
        <v>17.82</v>
      </c>
      <c r="P57" s="448">
        <f t="shared" ref="P57:AS57" si="105">SUM(P54:P56)</f>
        <v>-24000</v>
      </c>
      <c r="Q57" s="449">
        <f t="shared" si="105"/>
        <v>0</v>
      </c>
      <c r="R57" s="449">
        <f t="shared" si="105"/>
        <v>0</v>
      </c>
      <c r="S57" s="449">
        <f t="shared" si="105"/>
        <v>0</v>
      </c>
      <c r="T57" s="449">
        <f t="shared" si="105"/>
        <v>0</v>
      </c>
      <c r="U57" s="449">
        <f t="shared" si="105"/>
        <v>0</v>
      </c>
      <c r="V57" s="449">
        <f t="shared" si="105"/>
        <v>-24000</v>
      </c>
      <c r="W57" s="455">
        <f t="shared" si="105"/>
        <v>24000</v>
      </c>
      <c r="X57" s="455">
        <f t="shared" si="105"/>
        <v>0</v>
      </c>
      <c r="Y57" s="455">
        <f t="shared" si="105"/>
        <v>0</v>
      </c>
      <c r="Z57" s="455">
        <f t="shared" si="105"/>
        <v>24000</v>
      </c>
      <c r="AA57" s="455">
        <f t="shared" si="105"/>
        <v>0</v>
      </c>
      <c r="AB57" s="455">
        <f t="shared" si="105"/>
        <v>0</v>
      </c>
      <c r="AC57" s="455">
        <f t="shared" si="105"/>
        <v>-240</v>
      </c>
      <c r="AD57" s="455">
        <f t="shared" si="105"/>
        <v>0</v>
      </c>
      <c r="AE57" s="455">
        <f t="shared" si="105"/>
        <v>-240</v>
      </c>
      <c r="AF57" s="457">
        <f t="shared" si="105"/>
        <v>-0.02</v>
      </c>
      <c r="AG57" s="457">
        <f t="shared" si="105"/>
        <v>0</v>
      </c>
      <c r="AH57" s="457">
        <f t="shared" si="105"/>
        <v>0</v>
      </c>
      <c r="AI57" s="457">
        <f t="shared" si="105"/>
        <v>0</v>
      </c>
      <c r="AJ57" s="457">
        <f t="shared" si="105"/>
        <v>0</v>
      </c>
      <c r="AK57" s="457">
        <f t="shared" si="105"/>
        <v>0</v>
      </c>
      <c r="AL57" s="458">
        <f t="shared" si="105"/>
        <v>-0.02</v>
      </c>
      <c r="AM57" s="448">
        <f t="shared" si="105"/>
        <v>15405277</v>
      </c>
      <c r="AN57" s="449">
        <f t="shared" si="105"/>
        <v>11368693</v>
      </c>
      <c r="AO57" s="449">
        <f t="shared" si="105"/>
        <v>60000</v>
      </c>
      <c r="AP57" s="449">
        <f t="shared" si="105"/>
        <v>3862898</v>
      </c>
      <c r="AQ57" s="449">
        <f t="shared" si="105"/>
        <v>113686</v>
      </c>
      <c r="AR57" s="449">
        <f t="shared" si="105"/>
        <v>0</v>
      </c>
      <c r="AS57" s="450">
        <f t="shared" si="105"/>
        <v>17.8</v>
      </c>
    </row>
    <row r="58" spans="1:45" ht="13.5" thickBot="1" x14ac:dyDescent="0.25">
      <c r="A58" s="113"/>
      <c r="B58" s="27"/>
      <c r="C58" s="27"/>
      <c r="D58" s="27"/>
      <c r="E58" s="57" t="s">
        <v>728</v>
      </c>
      <c r="F58" s="27"/>
      <c r="G58" s="114"/>
      <c r="H58" s="593"/>
      <c r="I58" s="349">
        <f>I14+I17+I20+I22+I27+I32+I34+I39+I42+I46+I51+I53+I57</f>
        <v>140589152</v>
      </c>
      <c r="J58" s="602">
        <f t="shared" ref="J58:N58" si="106">J14+J17+J20+J22+J27+J32+J34+J39+J42+J46+J51+J53+J57</f>
        <v>103972943</v>
      </c>
      <c r="K58" s="602">
        <f t="shared" si="106"/>
        <v>324084</v>
      </c>
      <c r="L58" s="602">
        <f t="shared" si="106"/>
        <v>35252396</v>
      </c>
      <c r="M58" s="602">
        <f t="shared" si="106"/>
        <v>1039729</v>
      </c>
      <c r="N58" s="602">
        <f t="shared" si="106"/>
        <v>0</v>
      </c>
      <c r="O58" s="603">
        <f>O14+O17+O20+O22+O27+O32+O34+O39+O42+O46+O51+O53+O57</f>
        <v>165.42</v>
      </c>
      <c r="P58" s="350">
        <f>P14+P17+P20+P22+P27+P32+P34+P39+P42+P46+P51+P53+P57</f>
        <v>-216056</v>
      </c>
      <c r="Q58" s="350">
        <f>Q14+Q17+Q20+Q22+Q27+Q32+Q34+Q39+Q42+Q46+Q51+Q53+Q57</f>
        <v>143278</v>
      </c>
      <c r="R58" s="350">
        <f t="shared" ref="R58:AE58" si="107">R14+R17+R20+R22+R27+R32+R34+R39+R42+R46+R51+R53+R57</f>
        <v>0</v>
      </c>
      <c r="S58" s="350">
        <f t="shared" si="107"/>
        <v>0</v>
      </c>
      <c r="T58" s="350">
        <f t="shared" si="107"/>
        <v>0</v>
      </c>
      <c r="U58" s="350">
        <f t="shared" si="107"/>
        <v>0</v>
      </c>
      <c r="V58" s="350">
        <f t="shared" si="107"/>
        <v>-72778</v>
      </c>
      <c r="W58" s="350">
        <f t="shared" si="107"/>
        <v>216056</v>
      </c>
      <c r="X58" s="350">
        <f t="shared" si="107"/>
        <v>0</v>
      </c>
      <c r="Y58" s="350">
        <f t="shared" si="107"/>
        <v>0</v>
      </c>
      <c r="Z58" s="350">
        <f t="shared" si="107"/>
        <v>216056</v>
      </c>
      <c r="AA58" s="350">
        <f t="shared" si="107"/>
        <v>143278</v>
      </c>
      <c r="AB58" s="350">
        <f t="shared" si="107"/>
        <v>48429</v>
      </c>
      <c r="AC58" s="350">
        <f t="shared" si="107"/>
        <v>-729</v>
      </c>
      <c r="AD58" s="350">
        <f t="shared" si="107"/>
        <v>0</v>
      </c>
      <c r="AE58" s="350">
        <f t="shared" si="107"/>
        <v>190978</v>
      </c>
      <c r="AF58" s="453">
        <f>AF14+AF17+AF20+AF22+AF27+AF32+AF34+AF39+AF42+AF46+AF51+AF53+AF57</f>
        <v>-0.18</v>
      </c>
      <c r="AG58" s="453">
        <f t="shared" ref="AG58:AL58" si="108">AG14+AG17+AG20+AG22+AG27+AG32+AG34+AG39+AG42+AG46+AG51+AG53+AG57</f>
        <v>0.38</v>
      </c>
      <c r="AH58" s="453">
        <f t="shared" si="108"/>
        <v>0</v>
      </c>
      <c r="AI58" s="453">
        <f t="shared" si="108"/>
        <v>0</v>
      </c>
      <c r="AJ58" s="453">
        <f t="shared" si="108"/>
        <v>0</v>
      </c>
      <c r="AK58" s="453">
        <f t="shared" si="108"/>
        <v>0</v>
      </c>
      <c r="AL58" s="453">
        <f t="shared" si="108"/>
        <v>0.2</v>
      </c>
      <c r="AM58" s="349">
        <f>AM14+AM17+AM20+AM22+AM27+AM32+AM34+AM39+AM42+AM46+AM51+AM53+AM57</f>
        <v>140780130</v>
      </c>
      <c r="AN58" s="350">
        <f>AN14+AN17+AN20+AN22+AN27+AN32+AN34+AN39+AN42+AN46+AN51+AN53+AN57</f>
        <v>103900165</v>
      </c>
      <c r="AO58" s="350">
        <f t="shared" ref="AO58:AR58" si="109">AO14+AO17+AO20+AO22+AO27+AO32+AO34+AO39+AO42+AO46+AO51+AO53+AO57</f>
        <v>540140</v>
      </c>
      <c r="AP58" s="350">
        <f t="shared" si="109"/>
        <v>35300825</v>
      </c>
      <c r="AQ58" s="350">
        <f t="shared" si="109"/>
        <v>1039000</v>
      </c>
      <c r="AR58" s="350">
        <f t="shared" si="109"/>
        <v>0</v>
      </c>
      <c r="AS58" s="418">
        <f>AS14+AS17+AS20+AS22+AS27+AS32+AS34+AS39+AS42+AS46+AS51+AS53+AS57</f>
        <v>165.62000000000003</v>
      </c>
    </row>
    <row r="59" spans="1:45" x14ac:dyDescent="0.2">
      <c r="D59" s="8"/>
      <c r="E59" s="4"/>
      <c r="F59" s="8"/>
      <c r="G59" s="17"/>
      <c r="H59" s="4"/>
      <c r="I59" s="328">
        <f>SUM(J58:N58)</f>
        <v>140589152</v>
      </c>
      <c r="J59" s="328"/>
      <c r="K59" s="328"/>
      <c r="L59" s="328"/>
      <c r="M59" s="328"/>
      <c r="N59" s="328"/>
      <c r="O59" s="709"/>
      <c r="P59" s="328">
        <f>W58</f>
        <v>216056</v>
      </c>
      <c r="Q59" s="329"/>
      <c r="R59" s="329"/>
      <c r="S59" s="329"/>
      <c r="T59" s="328"/>
      <c r="U59" s="329"/>
      <c r="V59" s="330">
        <f>SUM(P58:U58)</f>
        <v>-72778</v>
      </c>
      <c r="W59" s="330">
        <f>P58</f>
        <v>-216056</v>
      </c>
      <c r="X59" s="331"/>
      <c r="Y59" s="331"/>
      <c r="Z59" s="330">
        <f>SUM(W58:Y58)</f>
        <v>216056</v>
      </c>
      <c r="AA59" s="330">
        <f>V58+Z58</f>
        <v>143278</v>
      </c>
      <c r="AB59" s="332"/>
      <c r="AC59" s="332"/>
      <c r="AD59" s="330"/>
      <c r="AE59" s="330">
        <f>SUM(AA58:AD58)</f>
        <v>190978</v>
      </c>
      <c r="AF59" s="333"/>
      <c r="AG59" s="333"/>
      <c r="AH59" s="333"/>
      <c r="AI59" s="333"/>
      <c r="AJ59" s="381"/>
      <c r="AK59" s="333"/>
      <c r="AL59" s="381">
        <f>SUM(AF58:AK58)</f>
        <v>0.2</v>
      </c>
      <c r="AM59" s="328">
        <f>SUM(AN58:AR58)</f>
        <v>140780130</v>
      </c>
      <c r="AN59" s="328"/>
      <c r="AO59" s="58"/>
      <c r="AP59" s="330"/>
      <c r="AQ59" s="330"/>
      <c r="AR59" s="330"/>
      <c r="AS59" s="329"/>
    </row>
    <row r="60" spans="1:45" ht="13.5" thickBot="1" x14ac:dyDescent="0.25">
      <c r="D60" s="8"/>
      <c r="E60" s="4"/>
      <c r="F60" s="8"/>
      <c r="G60" s="17"/>
      <c r="H60" s="4"/>
      <c r="I60" s="328">
        <f>SUM(J61:N61)</f>
        <v>140589152</v>
      </c>
      <c r="J60" s="328"/>
      <c r="K60" s="328"/>
      <c r="L60" s="328"/>
      <c r="M60" s="328"/>
      <c r="N60" s="328"/>
      <c r="O60" s="709"/>
      <c r="P60" s="328">
        <f>W61</f>
        <v>216056</v>
      </c>
      <c r="Q60" s="329"/>
      <c r="R60" s="329"/>
      <c r="S60" s="329"/>
      <c r="T60" s="328"/>
      <c r="U60" s="329"/>
      <c r="V60" s="330">
        <f>SUM(P61:U61)</f>
        <v>-72778</v>
      </c>
      <c r="W60" s="330"/>
      <c r="X60" s="331"/>
      <c r="Y60" s="331"/>
      <c r="Z60" s="330">
        <f>SUM(W61:Y61)</f>
        <v>216056</v>
      </c>
      <c r="AA60" s="330">
        <f>V61+Z61</f>
        <v>143278</v>
      </c>
      <c r="AB60" s="332"/>
      <c r="AC60" s="332"/>
      <c r="AD60" s="330"/>
      <c r="AE60" s="330">
        <f>SUM(AA61:AD61)</f>
        <v>190978</v>
      </c>
      <c r="AF60" s="333"/>
      <c r="AG60" s="333"/>
      <c r="AH60" s="333"/>
      <c r="AI60" s="333"/>
      <c r="AJ60" s="381"/>
      <c r="AK60" s="333"/>
      <c r="AL60" s="381">
        <f>SUM(AF61:AK61)</f>
        <v>0.2</v>
      </c>
      <c r="AM60" s="328">
        <f>AN61+AO61+AP61+AQ61</f>
        <v>140780130</v>
      </c>
      <c r="AN60" s="328"/>
      <c r="AO60" s="58"/>
      <c r="AP60" s="48"/>
      <c r="AQ60" s="48"/>
      <c r="AR60" s="48"/>
      <c r="AS60" s="329"/>
    </row>
    <row r="61" spans="1:45" ht="13.5" thickBot="1" x14ac:dyDescent="0.25">
      <c r="D61" s="8"/>
      <c r="E61" s="4"/>
      <c r="F61" s="8"/>
      <c r="G61" s="17"/>
      <c r="H61" s="360" t="s">
        <v>0</v>
      </c>
      <c r="I61" s="96">
        <f t="shared" ref="I61:AS61" si="110">SUM(I62:I71)</f>
        <v>140589152</v>
      </c>
      <c r="J61" s="31">
        <f t="shared" si="110"/>
        <v>103972943</v>
      </c>
      <c r="K61" s="31">
        <f t="shared" si="110"/>
        <v>324084</v>
      </c>
      <c r="L61" s="31">
        <f t="shared" si="110"/>
        <v>35252396</v>
      </c>
      <c r="M61" s="31">
        <f t="shared" si="110"/>
        <v>1039729</v>
      </c>
      <c r="N61" s="31">
        <f t="shared" si="110"/>
        <v>0</v>
      </c>
      <c r="O61" s="629">
        <f t="shared" si="110"/>
        <v>165.42000000000004</v>
      </c>
      <c r="P61" s="101">
        <f t="shared" si="110"/>
        <v>-216056</v>
      </c>
      <c r="Q61" s="31">
        <f t="shared" si="110"/>
        <v>143278</v>
      </c>
      <c r="R61" s="31">
        <f t="shared" si="110"/>
        <v>0</v>
      </c>
      <c r="S61" s="31">
        <f t="shared" si="110"/>
        <v>0</v>
      </c>
      <c r="T61" s="31">
        <f t="shared" si="110"/>
        <v>0</v>
      </c>
      <c r="U61" s="31">
        <f t="shared" si="110"/>
        <v>0</v>
      </c>
      <c r="V61" s="31">
        <f t="shared" si="110"/>
        <v>-72778</v>
      </c>
      <c r="W61" s="31">
        <f t="shared" si="110"/>
        <v>216056</v>
      </c>
      <c r="X61" s="31">
        <f t="shared" si="110"/>
        <v>0</v>
      </c>
      <c r="Y61" s="31">
        <f t="shared" si="110"/>
        <v>0</v>
      </c>
      <c r="Z61" s="31">
        <f t="shared" si="110"/>
        <v>216056</v>
      </c>
      <c r="AA61" s="31">
        <f t="shared" si="110"/>
        <v>143278</v>
      </c>
      <c r="AB61" s="31">
        <f t="shared" si="110"/>
        <v>48429</v>
      </c>
      <c r="AC61" s="31">
        <f t="shared" si="110"/>
        <v>-729</v>
      </c>
      <c r="AD61" s="31">
        <f t="shared" si="110"/>
        <v>0</v>
      </c>
      <c r="AE61" s="31">
        <f t="shared" si="110"/>
        <v>190978</v>
      </c>
      <c r="AF61" s="32">
        <f t="shared" si="110"/>
        <v>-0.18</v>
      </c>
      <c r="AG61" s="32">
        <f t="shared" si="110"/>
        <v>0.38</v>
      </c>
      <c r="AH61" s="32">
        <f t="shared" si="110"/>
        <v>0</v>
      </c>
      <c r="AI61" s="32">
        <f t="shared" si="110"/>
        <v>0</v>
      </c>
      <c r="AJ61" s="32">
        <f t="shared" si="110"/>
        <v>0</v>
      </c>
      <c r="AK61" s="32">
        <f t="shared" si="110"/>
        <v>0</v>
      </c>
      <c r="AL61" s="100">
        <f t="shared" si="110"/>
        <v>0.19999999999999996</v>
      </c>
      <c r="AM61" s="96">
        <f t="shared" si="110"/>
        <v>140780130</v>
      </c>
      <c r="AN61" s="31">
        <f t="shared" si="110"/>
        <v>103900165</v>
      </c>
      <c r="AO61" s="31">
        <f t="shared" si="110"/>
        <v>540140</v>
      </c>
      <c r="AP61" s="31">
        <f t="shared" si="110"/>
        <v>35300825</v>
      </c>
      <c r="AQ61" s="31">
        <f t="shared" si="110"/>
        <v>1039000</v>
      </c>
      <c r="AR61" s="31">
        <f t="shared" si="110"/>
        <v>0</v>
      </c>
      <c r="AS61" s="32">
        <f t="shared" si="110"/>
        <v>165.62</v>
      </c>
    </row>
    <row r="62" spans="1:45" x14ac:dyDescent="0.2">
      <c r="D62" s="8"/>
      <c r="E62" s="4"/>
      <c r="F62" s="8"/>
      <c r="G62" s="17"/>
      <c r="H62" s="359">
        <v>3111</v>
      </c>
      <c r="I62" s="370">
        <f t="shared" ref="I62" si="111">SUMIF($F$12:$F$366,"=3111",I$12:I$366)</f>
        <v>28823825</v>
      </c>
      <c r="J62" s="371">
        <f t="shared" ref="J62:AS62" si="112">SUMIF($F$12:$F$447,"=3111",J$12:J$447)</f>
        <v>21337993</v>
      </c>
      <c r="K62" s="371">
        <f t="shared" si="112"/>
        <v>45000</v>
      </c>
      <c r="L62" s="371">
        <f t="shared" si="112"/>
        <v>7227452</v>
      </c>
      <c r="M62" s="371">
        <f t="shared" si="112"/>
        <v>213380</v>
      </c>
      <c r="N62" s="371">
        <f t="shared" si="112"/>
        <v>0</v>
      </c>
      <c r="O62" s="631">
        <f t="shared" si="112"/>
        <v>37.15</v>
      </c>
      <c r="P62" s="372">
        <f t="shared" si="112"/>
        <v>-30000</v>
      </c>
      <c r="Q62" s="371">
        <f t="shared" si="112"/>
        <v>0</v>
      </c>
      <c r="R62" s="371">
        <f t="shared" si="112"/>
        <v>0</v>
      </c>
      <c r="S62" s="371">
        <f t="shared" si="112"/>
        <v>0</v>
      </c>
      <c r="T62" s="371">
        <f t="shared" si="112"/>
        <v>0</v>
      </c>
      <c r="U62" s="371">
        <f t="shared" si="112"/>
        <v>0</v>
      </c>
      <c r="V62" s="371">
        <f t="shared" si="112"/>
        <v>-30000</v>
      </c>
      <c r="W62" s="371">
        <f t="shared" si="112"/>
        <v>30000</v>
      </c>
      <c r="X62" s="371">
        <f t="shared" si="112"/>
        <v>0</v>
      </c>
      <c r="Y62" s="371">
        <f t="shared" si="112"/>
        <v>0</v>
      </c>
      <c r="Z62" s="371">
        <f t="shared" si="112"/>
        <v>30000</v>
      </c>
      <c r="AA62" s="371">
        <f t="shared" si="112"/>
        <v>0</v>
      </c>
      <c r="AB62" s="371">
        <f t="shared" si="112"/>
        <v>0</v>
      </c>
      <c r="AC62" s="371">
        <f t="shared" si="112"/>
        <v>-300</v>
      </c>
      <c r="AD62" s="371">
        <f t="shared" si="112"/>
        <v>0</v>
      </c>
      <c r="AE62" s="371">
        <f t="shared" si="112"/>
        <v>-300</v>
      </c>
      <c r="AF62" s="373">
        <f t="shared" si="112"/>
        <v>-0.01</v>
      </c>
      <c r="AG62" s="373">
        <f t="shared" si="112"/>
        <v>0</v>
      </c>
      <c r="AH62" s="373">
        <f t="shared" si="112"/>
        <v>0</v>
      </c>
      <c r="AI62" s="373">
        <f t="shared" si="112"/>
        <v>0</v>
      </c>
      <c r="AJ62" s="373">
        <f t="shared" si="112"/>
        <v>0</v>
      </c>
      <c r="AK62" s="373">
        <f t="shared" si="112"/>
        <v>0</v>
      </c>
      <c r="AL62" s="374">
        <f t="shared" si="112"/>
        <v>-0.01</v>
      </c>
      <c r="AM62" s="370">
        <f t="shared" si="112"/>
        <v>28823525</v>
      </c>
      <c r="AN62" s="371">
        <f t="shared" si="112"/>
        <v>21307993</v>
      </c>
      <c r="AO62" s="371">
        <f t="shared" si="112"/>
        <v>75000</v>
      </c>
      <c r="AP62" s="371">
        <f t="shared" si="112"/>
        <v>7227452</v>
      </c>
      <c r="AQ62" s="371">
        <f t="shared" si="112"/>
        <v>213080</v>
      </c>
      <c r="AR62" s="371">
        <f t="shared" si="112"/>
        <v>0</v>
      </c>
      <c r="AS62" s="373">
        <f t="shared" si="112"/>
        <v>37.14</v>
      </c>
    </row>
    <row r="63" spans="1:45" x14ac:dyDescent="0.2">
      <c r="D63" s="8"/>
      <c r="E63" s="4"/>
      <c r="F63" s="8"/>
      <c r="G63" s="17"/>
      <c r="H63" s="16">
        <v>3113</v>
      </c>
      <c r="I63" s="370">
        <f t="shared" ref="I63" si="113">SUMIF($F$12:$F$366,"=3113",I$12:I$366)</f>
        <v>80065062</v>
      </c>
      <c r="J63" s="14">
        <f t="shared" ref="J63:AS63" si="114">SUMIF($F$12:$F$447,"=3113",J$12:J$447)</f>
        <v>59374603</v>
      </c>
      <c r="K63" s="14">
        <f t="shared" si="114"/>
        <v>21000</v>
      </c>
      <c r="L63" s="14">
        <f t="shared" si="114"/>
        <v>20075714</v>
      </c>
      <c r="M63" s="14">
        <f t="shared" si="114"/>
        <v>593745</v>
      </c>
      <c r="N63" s="14">
        <f t="shared" si="114"/>
        <v>0</v>
      </c>
      <c r="O63" s="633">
        <f t="shared" si="114"/>
        <v>88.590000000000018</v>
      </c>
      <c r="P63" s="120">
        <f t="shared" si="114"/>
        <v>-14000</v>
      </c>
      <c r="Q63" s="14">
        <f t="shared" si="114"/>
        <v>143278</v>
      </c>
      <c r="R63" s="14">
        <f t="shared" si="114"/>
        <v>0</v>
      </c>
      <c r="S63" s="14">
        <f t="shared" si="114"/>
        <v>0</v>
      </c>
      <c r="T63" s="14">
        <f t="shared" si="114"/>
        <v>0</v>
      </c>
      <c r="U63" s="14">
        <f t="shared" si="114"/>
        <v>0</v>
      </c>
      <c r="V63" s="14">
        <f t="shared" si="114"/>
        <v>129278</v>
      </c>
      <c r="W63" s="14">
        <f t="shared" si="114"/>
        <v>14000</v>
      </c>
      <c r="X63" s="14">
        <f t="shared" si="114"/>
        <v>0</v>
      </c>
      <c r="Y63" s="14">
        <f t="shared" si="114"/>
        <v>0</v>
      </c>
      <c r="Z63" s="14">
        <f t="shared" si="114"/>
        <v>14000</v>
      </c>
      <c r="AA63" s="14">
        <f t="shared" si="114"/>
        <v>143278</v>
      </c>
      <c r="AB63" s="14">
        <f t="shared" si="114"/>
        <v>48429</v>
      </c>
      <c r="AC63" s="14">
        <f t="shared" si="114"/>
        <v>1292</v>
      </c>
      <c r="AD63" s="14">
        <f t="shared" si="114"/>
        <v>0</v>
      </c>
      <c r="AE63" s="14">
        <f t="shared" si="114"/>
        <v>192999</v>
      </c>
      <c r="AF63" s="11">
        <f t="shared" si="114"/>
        <v>-0.01</v>
      </c>
      <c r="AG63" s="11">
        <f t="shared" si="114"/>
        <v>0.38</v>
      </c>
      <c r="AH63" s="11">
        <f t="shared" si="114"/>
        <v>0</v>
      </c>
      <c r="AI63" s="11">
        <f t="shared" si="114"/>
        <v>0</v>
      </c>
      <c r="AJ63" s="11">
        <f t="shared" si="114"/>
        <v>0</v>
      </c>
      <c r="AK63" s="11">
        <f t="shared" si="114"/>
        <v>0</v>
      </c>
      <c r="AL63" s="121">
        <f t="shared" si="114"/>
        <v>0.37</v>
      </c>
      <c r="AM63" s="119">
        <f t="shared" si="114"/>
        <v>80258061</v>
      </c>
      <c r="AN63" s="14">
        <f t="shared" si="114"/>
        <v>59503881</v>
      </c>
      <c r="AO63" s="14">
        <f t="shared" si="114"/>
        <v>35000</v>
      </c>
      <c r="AP63" s="14">
        <f t="shared" si="114"/>
        <v>20124143</v>
      </c>
      <c r="AQ63" s="14">
        <f t="shared" si="114"/>
        <v>595037</v>
      </c>
      <c r="AR63" s="14">
        <f t="shared" si="114"/>
        <v>0</v>
      </c>
      <c r="AS63" s="11">
        <f t="shared" si="114"/>
        <v>88.96</v>
      </c>
    </row>
    <row r="64" spans="1:45" x14ac:dyDescent="0.2">
      <c r="D64" s="8"/>
      <c r="E64" s="4"/>
      <c r="F64" s="8"/>
      <c r="G64" s="17"/>
      <c r="H64" s="16">
        <v>3114</v>
      </c>
      <c r="I64" s="370">
        <f t="shared" ref="I64" si="115">SUMIF($F$12:$F$366,"=3114",I$12:I$366)</f>
        <v>0</v>
      </c>
      <c r="J64" s="14">
        <f t="shared" ref="J64:AS64" si="116">SUMIF($F$12:$F$447,"=3114",J$12:J$447)</f>
        <v>0</v>
      </c>
      <c r="K64" s="14">
        <f t="shared" si="116"/>
        <v>0</v>
      </c>
      <c r="L64" s="14">
        <f t="shared" si="116"/>
        <v>0</v>
      </c>
      <c r="M64" s="14">
        <f t="shared" si="116"/>
        <v>0</v>
      </c>
      <c r="N64" s="14">
        <f t="shared" si="116"/>
        <v>0</v>
      </c>
      <c r="O64" s="633">
        <f t="shared" si="116"/>
        <v>0</v>
      </c>
      <c r="P64" s="120">
        <f t="shared" si="116"/>
        <v>0</v>
      </c>
      <c r="Q64" s="14">
        <f t="shared" si="116"/>
        <v>0</v>
      </c>
      <c r="R64" s="14">
        <f t="shared" si="116"/>
        <v>0</v>
      </c>
      <c r="S64" s="14">
        <f t="shared" si="116"/>
        <v>0</v>
      </c>
      <c r="T64" s="14">
        <f t="shared" si="116"/>
        <v>0</v>
      </c>
      <c r="U64" s="14">
        <f t="shared" si="116"/>
        <v>0</v>
      </c>
      <c r="V64" s="14">
        <f t="shared" si="116"/>
        <v>0</v>
      </c>
      <c r="W64" s="14">
        <f t="shared" si="116"/>
        <v>0</v>
      </c>
      <c r="X64" s="14">
        <f t="shared" si="116"/>
        <v>0</v>
      </c>
      <c r="Y64" s="14">
        <f t="shared" si="116"/>
        <v>0</v>
      </c>
      <c r="Z64" s="14">
        <f t="shared" si="116"/>
        <v>0</v>
      </c>
      <c r="AA64" s="14">
        <f t="shared" si="116"/>
        <v>0</v>
      </c>
      <c r="AB64" s="14">
        <f t="shared" si="116"/>
        <v>0</v>
      </c>
      <c r="AC64" s="14">
        <f t="shared" si="116"/>
        <v>0</v>
      </c>
      <c r="AD64" s="14">
        <f t="shared" si="116"/>
        <v>0</v>
      </c>
      <c r="AE64" s="14">
        <f t="shared" si="116"/>
        <v>0</v>
      </c>
      <c r="AF64" s="11">
        <f t="shared" si="116"/>
        <v>0</v>
      </c>
      <c r="AG64" s="11">
        <f t="shared" si="116"/>
        <v>0</v>
      </c>
      <c r="AH64" s="11">
        <f t="shared" si="116"/>
        <v>0</v>
      </c>
      <c r="AI64" s="11">
        <f t="shared" si="116"/>
        <v>0</v>
      </c>
      <c r="AJ64" s="11">
        <f t="shared" si="116"/>
        <v>0</v>
      </c>
      <c r="AK64" s="11">
        <f t="shared" si="116"/>
        <v>0</v>
      </c>
      <c r="AL64" s="121">
        <f t="shared" si="116"/>
        <v>0</v>
      </c>
      <c r="AM64" s="119">
        <f t="shared" si="116"/>
        <v>0</v>
      </c>
      <c r="AN64" s="14">
        <f t="shared" si="116"/>
        <v>0</v>
      </c>
      <c r="AO64" s="14">
        <f t="shared" si="116"/>
        <v>0</v>
      </c>
      <c r="AP64" s="14">
        <f t="shared" si="116"/>
        <v>0</v>
      </c>
      <c r="AQ64" s="14">
        <f t="shared" si="116"/>
        <v>0</v>
      </c>
      <c r="AR64" s="14">
        <f t="shared" si="116"/>
        <v>0</v>
      </c>
      <c r="AS64" s="11">
        <f t="shared" si="116"/>
        <v>0</v>
      </c>
    </row>
    <row r="65" spans="4:45" x14ac:dyDescent="0.2">
      <c r="D65" s="8"/>
      <c r="E65" s="4"/>
      <c r="F65" s="8"/>
      <c r="G65" s="17"/>
      <c r="H65" s="16">
        <v>3117</v>
      </c>
      <c r="I65" s="370">
        <f t="shared" ref="I65" si="117">SUMIF($F$12:$F$366,"=3117",I$12:I$366)</f>
        <v>8843745</v>
      </c>
      <c r="J65" s="14">
        <f t="shared" ref="J65:AS65" si="118">SUMIF($F$12:$F$447,"=3117",J$12:J$447)</f>
        <v>6556390</v>
      </c>
      <c r="K65" s="14">
        <f t="shared" si="118"/>
        <v>4284</v>
      </c>
      <c r="L65" s="14">
        <f t="shared" si="118"/>
        <v>2217508</v>
      </c>
      <c r="M65" s="14">
        <f t="shared" si="118"/>
        <v>65563</v>
      </c>
      <c r="N65" s="14">
        <f t="shared" si="118"/>
        <v>0</v>
      </c>
      <c r="O65" s="633">
        <f t="shared" si="118"/>
        <v>10.99</v>
      </c>
      <c r="P65" s="120">
        <f t="shared" si="118"/>
        <v>-2856</v>
      </c>
      <c r="Q65" s="14">
        <f t="shared" si="118"/>
        <v>0</v>
      </c>
      <c r="R65" s="14">
        <f t="shared" si="118"/>
        <v>0</v>
      </c>
      <c r="S65" s="14">
        <f t="shared" si="118"/>
        <v>0</v>
      </c>
      <c r="T65" s="14">
        <f t="shared" si="118"/>
        <v>0</v>
      </c>
      <c r="U65" s="14">
        <f t="shared" si="118"/>
        <v>0</v>
      </c>
      <c r="V65" s="14">
        <f t="shared" si="118"/>
        <v>-2856</v>
      </c>
      <c r="W65" s="14">
        <f t="shared" si="118"/>
        <v>2856</v>
      </c>
      <c r="X65" s="14">
        <f t="shared" si="118"/>
        <v>0</v>
      </c>
      <c r="Y65" s="14">
        <f t="shared" si="118"/>
        <v>0</v>
      </c>
      <c r="Z65" s="14">
        <f t="shared" si="118"/>
        <v>2856</v>
      </c>
      <c r="AA65" s="14">
        <f t="shared" si="118"/>
        <v>0</v>
      </c>
      <c r="AB65" s="14">
        <f t="shared" si="118"/>
        <v>0</v>
      </c>
      <c r="AC65" s="14">
        <f t="shared" si="118"/>
        <v>-29</v>
      </c>
      <c r="AD65" s="14">
        <f t="shared" si="118"/>
        <v>0</v>
      </c>
      <c r="AE65" s="14">
        <f t="shared" si="118"/>
        <v>-29</v>
      </c>
      <c r="AF65" s="11">
        <f t="shared" si="118"/>
        <v>0</v>
      </c>
      <c r="AG65" s="11">
        <f t="shared" si="118"/>
        <v>0</v>
      </c>
      <c r="AH65" s="11">
        <f t="shared" si="118"/>
        <v>0</v>
      </c>
      <c r="AI65" s="11">
        <f t="shared" si="118"/>
        <v>0</v>
      </c>
      <c r="AJ65" s="11">
        <f t="shared" si="118"/>
        <v>0</v>
      </c>
      <c r="AK65" s="11">
        <f t="shared" si="118"/>
        <v>0</v>
      </c>
      <c r="AL65" s="121">
        <f t="shared" si="118"/>
        <v>0</v>
      </c>
      <c r="AM65" s="119">
        <f t="shared" si="118"/>
        <v>8843716</v>
      </c>
      <c r="AN65" s="14">
        <f t="shared" si="118"/>
        <v>6553534</v>
      </c>
      <c r="AO65" s="14">
        <f t="shared" si="118"/>
        <v>7140</v>
      </c>
      <c r="AP65" s="14">
        <f t="shared" si="118"/>
        <v>2217508</v>
      </c>
      <c r="AQ65" s="14">
        <f t="shared" si="118"/>
        <v>65534</v>
      </c>
      <c r="AR65" s="14">
        <f t="shared" si="118"/>
        <v>0</v>
      </c>
      <c r="AS65" s="11">
        <f t="shared" si="118"/>
        <v>10.99</v>
      </c>
    </row>
    <row r="66" spans="4:45" x14ac:dyDescent="0.2">
      <c r="D66" s="8"/>
      <c r="E66" s="4"/>
      <c r="F66" s="8"/>
      <c r="G66" s="17"/>
      <c r="H66" s="16">
        <v>3122</v>
      </c>
      <c r="I66" s="370">
        <f t="shared" ref="I66" si="119">SUMIF($F$12:$F$366,"=3122",I$12:I$366)</f>
        <v>0</v>
      </c>
      <c r="J66" s="14">
        <f t="shared" ref="J66:AS66" si="120">SUMIF($F$12:$F$447,"=3122",J$12:J$447)</f>
        <v>0</v>
      </c>
      <c r="K66" s="14">
        <f t="shared" si="120"/>
        <v>0</v>
      </c>
      <c r="L66" s="14">
        <f t="shared" si="120"/>
        <v>0</v>
      </c>
      <c r="M66" s="14">
        <f t="shared" si="120"/>
        <v>0</v>
      </c>
      <c r="N66" s="14">
        <f t="shared" si="120"/>
        <v>0</v>
      </c>
      <c r="O66" s="633">
        <f t="shared" si="120"/>
        <v>0</v>
      </c>
      <c r="P66" s="120">
        <f t="shared" si="120"/>
        <v>0</v>
      </c>
      <c r="Q66" s="14">
        <f t="shared" si="120"/>
        <v>0</v>
      </c>
      <c r="R66" s="14">
        <f t="shared" si="120"/>
        <v>0</v>
      </c>
      <c r="S66" s="14">
        <f t="shared" si="120"/>
        <v>0</v>
      </c>
      <c r="T66" s="14">
        <f t="shared" si="120"/>
        <v>0</v>
      </c>
      <c r="U66" s="14">
        <f t="shared" si="120"/>
        <v>0</v>
      </c>
      <c r="V66" s="14">
        <f t="shared" si="120"/>
        <v>0</v>
      </c>
      <c r="W66" s="14">
        <f t="shared" si="120"/>
        <v>0</v>
      </c>
      <c r="X66" s="14">
        <f t="shared" si="120"/>
        <v>0</v>
      </c>
      <c r="Y66" s="14">
        <f t="shared" si="120"/>
        <v>0</v>
      </c>
      <c r="Z66" s="14">
        <f t="shared" si="120"/>
        <v>0</v>
      </c>
      <c r="AA66" s="14">
        <f t="shared" si="120"/>
        <v>0</v>
      </c>
      <c r="AB66" s="14">
        <f t="shared" si="120"/>
        <v>0</v>
      </c>
      <c r="AC66" s="14">
        <f t="shared" si="120"/>
        <v>0</v>
      </c>
      <c r="AD66" s="14">
        <f t="shared" si="120"/>
        <v>0</v>
      </c>
      <c r="AE66" s="14">
        <f t="shared" si="120"/>
        <v>0</v>
      </c>
      <c r="AF66" s="11">
        <f t="shared" si="120"/>
        <v>0</v>
      </c>
      <c r="AG66" s="11">
        <f t="shared" si="120"/>
        <v>0</v>
      </c>
      <c r="AH66" s="11">
        <f t="shared" si="120"/>
        <v>0</v>
      </c>
      <c r="AI66" s="11">
        <f t="shared" si="120"/>
        <v>0</v>
      </c>
      <c r="AJ66" s="11">
        <f t="shared" si="120"/>
        <v>0</v>
      </c>
      <c r="AK66" s="11">
        <f t="shared" si="120"/>
        <v>0</v>
      </c>
      <c r="AL66" s="121">
        <f t="shared" si="120"/>
        <v>0</v>
      </c>
      <c r="AM66" s="119">
        <f t="shared" si="120"/>
        <v>0</v>
      </c>
      <c r="AN66" s="14">
        <f t="shared" si="120"/>
        <v>0</v>
      </c>
      <c r="AO66" s="14">
        <f t="shared" si="120"/>
        <v>0</v>
      </c>
      <c r="AP66" s="14">
        <f t="shared" si="120"/>
        <v>0</v>
      </c>
      <c r="AQ66" s="14">
        <f t="shared" si="120"/>
        <v>0</v>
      </c>
      <c r="AR66" s="14">
        <f t="shared" si="120"/>
        <v>0</v>
      </c>
      <c r="AS66" s="11">
        <f t="shared" si="120"/>
        <v>0</v>
      </c>
    </row>
    <row r="67" spans="4:45" x14ac:dyDescent="0.2">
      <c r="D67" s="8"/>
      <c r="E67" s="4"/>
      <c r="F67" s="8"/>
      <c r="G67" s="17"/>
      <c r="H67" s="16">
        <v>3124</v>
      </c>
      <c r="I67" s="370">
        <f t="shared" ref="I67" si="121">SUMIF($F$12:$F$366,"=3124",I$12:I$366)</f>
        <v>0</v>
      </c>
      <c r="J67" s="14">
        <f t="shared" ref="J67:AS67" si="122">SUMIF($F$12:$F$447,"=3124",J$12:J$447)</f>
        <v>0</v>
      </c>
      <c r="K67" s="14">
        <f t="shared" si="122"/>
        <v>0</v>
      </c>
      <c r="L67" s="14">
        <f t="shared" si="122"/>
        <v>0</v>
      </c>
      <c r="M67" s="14">
        <f t="shared" si="122"/>
        <v>0</v>
      </c>
      <c r="N67" s="14">
        <f t="shared" si="122"/>
        <v>0</v>
      </c>
      <c r="O67" s="633">
        <f t="shared" si="122"/>
        <v>0</v>
      </c>
      <c r="P67" s="120">
        <f t="shared" si="122"/>
        <v>0</v>
      </c>
      <c r="Q67" s="14">
        <f t="shared" si="122"/>
        <v>0</v>
      </c>
      <c r="R67" s="14">
        <f t="shared" si="122"/>
        <v>0</v>
      </c>
      <c r="S67" s="14">
        <f t="shared" si="122"/>
        <v>0</v>
      </c>
      <c r="T67" s="14">
        <f t="shared" si="122"/>
        <v>0</v>
      </c>
      <c r="U67" s="14">
        <f t="shared" si="122"/>
        <v>0</v>
      </c>
      <c r="V67" s="14">
        <f t="shared" si="122"/>
        <v>0</v>
      </c>
      <c r="W67" s="14">
        <f t="shared" si="122"/>
        <v>0</v>
      </c>
      <c r="X67" s="14">
        <f t="shared" si="122"/>
        <v>0</v>
      </c>
      <c r="Y67" s="14">
        <f t="shared" si="122"/>
        <v>0</v>
      </c>
      <c r="Z67" s="14">
        <f t="shared" si="122"/>
        <v>0</v>
      </c>
      <c r="AA67" s="14">
        <f t="shared" si="122"/>
        <v>0</v>
      </c>
      <c r="AB67" s="14">
        <f t="shared" si="122"/>
        <v>0</v>
      </c>
      <c r="AC67" s="14">
        <f t="shared" si="122"/>
        <v>0</v>
      </c>
      <c r="AD67" s="14">
        <f t="shared" si="122"/>
        <v>0</v>
      </c>
      <c r="AE67" s="14">
        <f t="shared" si="122"/>
        <v>0</v>
      </c>
      <c r="AF67" s="11">
        <f t="shared" si="122"/>
        <v>0</v>
      </c>
      <c r="AG67" s="11">
        <f t="shared" si="122"/>
        <v>0</v>
      </c>
      <c r="AH67" s="11">
        <f t="shared" si="122"/>
        <v>0</v>
      </c>
      <c r="AI67" s="11">
        <f t="shared" si="122"/>
        <v>0</v>
      </c>
      <c r="AJ67" s="11">
        <f t="shared" si="122"/>
        <v>0</v>
      </c>
      <c r="AK67" s="11">
        <f t="shared" si="122"/>
        <v>0</v>
      </c>
      <c r="AL67" s="121">
        <f t="shared" si="122"/>
        <v>0</v>
      </c>
      <c r="AM67" s="119">
        <f t="shared" si="122"/>
        <v>0</v>
      </c>
      <c r="AN67" s="14">
        <f t="shared" si="122"/>
        <v>0</v>
      </c>
      <c r="AO67" s="14">
        <f t="shared" si="122"/>
        <v>0</v>
      </c>
      <c r="AP67" s="14">
        <f t="shared" si="122"/>
        <v>0</v>
      </c>
      <c r="AQ67" s="14">
        <f t="shared" si="122"/>
        <v>0</v>
      </c>
      <c r="AR67" s="14">
        <f t="shared" si="122"/>
        <v>0</v>
      </c>
      <c r="AS67" s="11">
        <f t="shared" si="122"/>
        <v>0</v>
      </c>
    </row>
    <row r="68" spans="4:45" x14ac:dyDescent="0.2">
      <c r="D68" s="8"/>
      <c r="E68" s="4"/>
      <c r="F68" s="8"/>
      <c r="G68" s="17"/>
      <c r="H68" s="16">
        <v>3141</v>
      </c>
      <c r="I68" s="370">
        <f t="shared" ref="I68" si="123">SUMIF($F$12:$F$366,"=3141",I$12:I$366)</f>
        <v>0</v>
      </c>
      <c r="J68" s="14">
        <f t="shared" ref="J68:AS68" si="124">SUMIF($F$12:$F$447,"=3141",J$12:J$447)</f>
        <v>0</v>
      </c>
      <c r="K68" s="14">
        <f t="shared" si="124"/>
        <v>0</v>
      </c>
      <c r="L68" s="14">
        <f t="shared" si="124"/>
        <v>0</v>
      </c>
      <c r="M68" s="14">
        <f t="shared" si="124"/>
        <v>0</v>
      </c>
      <c r="N68" s="14">
        <f t="shared" si="124"/>
        <v>0</v>
      </c>
      <c r="O68" s="633">
        <f t="shared" si="124"/>
        <v>0</v>
      </c>
      <c r="P68" s="120">
        <f t="shared" si="124"/>
        <v>0</v>
      </c>
      <c r="Q68" s="14">
        <f t="shared" si="124"/>
        <v>0</v>
      </c>
      <c r="R68" s="14">
        <f t="shared" si="124"/>
        <v>0</v>
      </c>
      <c r="S68" s="14">
        <f t="shared" si="124"/>
        <v>0</v>
      </c>
      <c r="T68" s="14">
        <f t="shared" si="124"/>
        <v>0</v>
      </c>
      <c r="U68" s="14">
        <f t="shared" si="124"/>
        <v>0</v>
      </c>
      <c r="V68" s="14">
        <f t="shared" si="124"/>
        <v>0</v>
      </c>
      <c r="W68" s="14">
        <f t="shared" si="124"/>
        <v>0</v>
      </c>
      <c r="X68" s="14">
        <f t="shared" si="124"/>
        <v>0</v>
      </c>
      <c r="Y68" s="14">
        <f t="shared" si="124"/>
        <v>0</v>
      </c>
      <c r="Z68" s="14">
        <f t="shared" si="124"/>
        <v>0</v>
      </c>
      <c r="AA68" s="14">
        <f t="shared" si="124"/>
        <v>0</v>
      </c>
      <c r="AB68" s="14">
        <f t="shared" si="124"/>
        <v>0</v>
      </c>
      <c r="AC68" s="14">
        <f t="shared" si="124"/>
        <v>0</v>
      </c>
      <c r="AD68" s="14">
        <f t="shared" si="124"/>
        <v>0</v>
      </c>
      <c r="AE68" s="14">
        <f t="shared" si="124"/>
        <v>0</v>
      </c>
      <c r="AF68" s="11">
        <f t="shared" si="124"/>
        <v>0</v>
      </c>
      <c r="AG68" s="11">
        <f t="shared" si="124"/>
        <v>0</v>
      </c>
      <c r="AH68" s="11">
        <f t="shared" si="124"/>
        <v>0</v>
      </c>
      <c r="AI68" s="11">
        <f t="shared" si="124"/>
        <v>0</v>
      </c>
      <c r="AJ68" s="11">
        <f t="shared" si="124"/>
        <v>0</v>
      </c>
      <c r="AK68" s="11">
        <f t="shared" si="124"/>
        <v>0</v>
      </c>
      <c r="AL68" s="121">
        <f t="shared" si="124"/>
        <v>0</v>
      </c>
      <c r="AM68" s="119">
        <f t="shared" si="124"/>
        <v>0</v>
      </c>
      <c r="AN68" s="14">
        <f t="shared" si="124"/>
        <v>0</v>
      </c>
      <c r="AO68" s="14">
        <f t="shared" si="124"/>
        <v>0</v>
      </c>
      <c r="AP68" s="14">
        <f t="shared" si="124"/>
        <v>0</v>
      </c>
      <c r="AQ68" s="14">
        <f t="shared" si="124"/>
        <v>0</v>
      </c>
      <c r="AR68" s="14">
        <f t="shared" si="124"/>
        <v>0</v>
      </c>
      <c r="AS68" s="11">
        <f t="shared" si="124"/>
        <v>0</v>
      </c>
    </row>
    <row r="69" spans="4:45" x14ac:dyDescent="0.2">
      <c r="D69" s="8"/>
      <c r="E69" s="4"/>
      <c r="F69" s="8"/>
      <c r="G69" s="17"/>
      <c r="H69" s="16">
        <v>3143</v>
      </c>
      <c r="I69" s="370">
        <f t="shared" ref="I69" si="125">SUMIF($F$12:$F$366,"=3143",I$12:I$366)</f>
        <v>7812927</v>
      </c>
      <c r="J69" s="14">
        <f t="shared" ref="J69:AS69" si="126">SUMIF($F$12:$F$447,"=3143",J$12:J$447)</f>
        <v>5679807</v>
      </c>
      <c r="K69" s="14">
        <f t="shared" si="126"/>
        <v>117000</v>
      </c>
      <c r="L69" s="14">
        <f t="shared" si="126"/>
        <v>1959321</v>
      </c>
      <c r="M69" s="14">
        <f t="shared" si="126"/>
        <v>56799</v>
      </c>
      <c r="N69" s="14">
        <f t="shared" si="126"/>
        <v>0</v>
      </c>
      <c r="O69" s="633">
        <f t="shared" si="126"/>
        <v>11.860000000000001</v>
      </c>
      <c r="P69" s="120">
        <f t="shared" si="126"/>
        <v>-78000</v>
      </c>
      <c r="Q69" s="14">
        <f t="shared" si="126"/>
        <v>0</v>
      </c>
      <c r="R69" s="14">
        <f t="shared" si="126"/>
        <v>0</v>
      </c>
      <c r="S69" s="14">
        <f t="shared" si="126"/>
        <v>0</v>
      </c>
      <c r="T69" s="14">
        <f t="shared" si="126"/>
        <v>0</v>
      </c>
      <c r="U69" s="14">
        <f t="shared" si="126"/>
        <v>0</v>
      </c>
      <c r="V69" s="14">
        <f t="shared" si="126"/>
        <v>-78000</v>
      </c>
      <c r="W69" s="14">
        <f t="shared" si="126"/>
        <v>78000</v>
      </c>
      <c r="X69" s="14">
        <f t="shared" si="126"/>
        <v>0</v>
      </c>
      <c r="Y69" s="14">
        <f t="shared" si="126"/>
        <v>0</v>
      </c>
      <c r="Z69" s="14">
        <f t="shared" si="126"/>
        <v>78000</v>
      </c>
      <c r="AA69" s="14">
        <f t="shared" si="126"/>
        <v>0</v>
      </c>
      <c r="AB69" s="14">
        <f t="shared" si="126"/>
        <v>0</v>
      </c>
      <c r="AC69" s="14">
        <f t="shared" si="126"/>
        <v>-780</v>
      </c>
      <c r="AD69" s="14">
        <f t="shared" si="126"/>
        <v>0</v>
      </c>
      <c r="AE69" s="14">
        <f t="shared" si="126"/>
        <v>-780</v>
      </c>
      <c r="AF69" s="11">
        <f t="shared" si="126"/>
        <v>-0.01</v>
      </c>
      <c r="AG69" s="11">
        <f t="shared" si="126"/>
        <v>0</v>
      </c>
      <c r="AH69" s="11">
        <f t="shared" si="126"/>
        <v>0</v>
      </c>
      <c r="AI69" s="11">
        <f t="shared" si="126"/>
        <v>0</v>
      </c>
      <c r="AJ69" s="11">
        <f t="shared" si="126"/>
        <v>0</v>
      </c>
      <c r="AK69" s="11">
        <f t="shared" si="126"/>
        <v>0</v>
      </c>
      <c r="AL69" s="121">
        <f t="shared" si="126"/>
        <v>-0.01</v>
      </c>
      <c r="AM69" s="119">
        <f t="shared" si="126"/>
        <v>7812147</v>
      </c>
      <c r="AN69" s="14">
        <f t="shared" si="126"/>
        <v>5601807</v>
      </c>
      <c r="AO69" s="14">
        <f t="shared" si="126"/>
        <v>195000</v>
      </c>
      <c r="AP69" s="14">
        <f t="shared" si="126"/>
        <v>1959321</v>
      </c>
      <c r="AQ69" s="14">
        <f t="shared" si="126"/>
        <v>56019</v>
      </c>
      <c r="AR69" s="14">
        <f t="shared" si="126"/>
        <v>0</v>
      </c>
      <c r="AS69" s="11">
        <f t="shared" si="126"/>
        <v>11.850000000000001</v>
      </c>
    </row>
    <row r="70" spans="4:45" x14ac:dyDescent="0.2">
      <c r="D70" s="8"/>
      <c r="E70" s="4"/>
      <c r="F70" s="8"/>
      <c r="G70" s="17"/>
      <c r="H70" s="16">
        <v>3231</v>
      </c>
      <c r="I70" s="370">
        <f t="shared" ref="I70" si="127">SUMIF($F$12:$F$366,"=3231",I$12:I$366)</f>
        <v>12663701</v>
      </c>
      <c r="J70" s="14">
        <f t="shared" ref="J70:AS70" si="128">SUMIF($F$12:$F$447,"=3231",J$12:J$447)</f>
        <v>9365850</v>
      </c>
      <c r="K70" s="14">
        <f t="shared" si="128"/>
        <v>28800</v>
      </c>
      <c r="L70" s="14">
        <f t="shared" si="128"/>
        <v>3175392</v>
      </c>
      <c r="M70" s="14">
        <f t="shared" si="128"/>
        <v>93659</v>
      </c>
      <c r="N70" s="14">
        <f t="shared" si="128"/>
        <v>0</v>
      </c>
      <c r="O70" s="633">
        <f t="shared" si="128"/>
        <v>14.059999999999999</v>
      </c>
      <c r="P70" s="120">
        <f t="shared" si="128"/>
        <v>-19200</v>
      </c>
      <c r="Q70" s="14">
        <f t="shared" si="128"/>
        <v>0</v>
      </c>
      <c r="R70" s="14">
        <f t="shared" si="128"/>
        <v>0</v>
      </c>
      <c r="S70" s="14">
        <f t="shared" si="128"/>
        <v>0</v>
      </c>
      <c r="T70" s="14">
        <f t="shared" si="128"/>
        <v>0</v>
      </c>
      <c r="U70" s="14">
        <f t="shared" si="128"/>
        <v>0</v>
      </c>
      <c r="V70" s="14">
        <f t="shared" si="128"/>
        <v>-19200</v>
      </c>
      <c r="W70" s="14">
        <f t="shared" si="128"/>
        <v>19200</v>
      </c>
      <c r="X70" s="14">
        <f t="shared" si="128"/>
        <v>0</v>
      </c>
      <c r="Y70" s="14">
        <f t="shared" si="128"/>
        <v>0</v>
      </c>
      <c r="Z70" s="14">
        <f t="shared" si="128"/>
        <v>19200</v>
      </c>
      <c r="AA70" s="14">
        <f t="shared" si="128"/>
        <v>0</v>
      </c>
      <c r="AB70" s="14">
        <f t="shared" si="128"/>
        <v>0</v>
      </c>
      <c r="AC70" s="14">
        <f t="shared" si="128"/>
        <v>-192</v>
      </c>
      <c r="AD70" s="14">
        <f t="shared" si="128"/>
        <v>0</v>
      </c>
      <c r="AE70" s="14">
        <f t="shared" si="128"/>
        <v>-192</v>
      </c>
      <c r="AF70" s="11">
        <f t="shared" si="128"/>
        <v>-0.03</v>
      </c>
      <c r="AG70" s="11">
        <f t="shared" si="128"/>
        <v>0</v>
      </c>
      <c r="AH70" s="11">
        <f t="shared" si="128"/>
        <v>0</v>
      </c>
      <c r="AI70" s="11">
        <f t="shared" si="128"/>
        <v>0</v>
      </c>
      <c r="AJ70" s="11">
        <f t="shared" si="128"/>
        <v>0</v>
      </c>
      <c r="AK70" s="11">
        <f t="shared" si="128"/>
        <v>0</v>
      </c>
      <c r="AL70" s="121">
        <f t="shared" si="128"/>
        <v>-0.03</v>
      </c>
      <c r="AM70" s="119">
        <f t="shared" si="128"/>
        <v>12663509</v>
      </c>
      <c r="AN70" s="14">
        <f t="shared" si="128"/>
        <v>9346650</v>
      </c>
      <c r="AO70" s="14">
        <f t="shared" si="128"/>
        <v>48000</v>
      </c>
      <c r="AP70" s="14">
        <f t="shared" si="128"/>
        <v>3175392</v>
      </c>
      <c r="AQ70" s="14">
        <f t="shared" si="128"/>
        <v>93467</v>
      </c>
      <c r="AR70" s="14">
        <f t="shared" si="128"/>
        <v>0</v>
      </c>
      <c r="AS70" s="11">
        <f t="shared" si="128"/>
        <v>14.03</v>
      </c>
    </row>
    <row r="71" spans="4:45" ht="13.5" thickBot="1" x14ac:dyDescent="0.25">
      <c r="D71" s="8"/>
      <c r="E71" s="4"/>
      <c r="F71" s="8"/>
      <c r="G71" s="17"/>
      <c r="H71" s="95">
        <v>3233</v>
      </c>
      <c r="I71" s="826">
        <f t="shared" ref="I71" si="129">SUMIF($F$12:$F$366,"=3233",I$12:I$366)</f>
        <v>2379892</v>
      </c>
      <c r="J71" s="123">
        <f t="shared" ref="J71:AS71" si="130">SUMIF($F$12:$F$447,"=3233",J$12:J$447)</f>
        <v>1658300</v>
      </c>
      <c r="K71" s="123">
        <f t="shared" si="130"/>
        <v>108000</v>
      </c>
      <c r="L71" s="123">
        <f t="shared" si="130"/>
        <v>597009</v>
      </c>
      <c r="M71" s="123">
        <f t="shared" si="130"/>
        <v>16583</v>
      </c>
      <c r="N71" s="123">
        <f t="shared" si="130"/>
        <v>0</v>
      </c>
      <c r="O71" s="635">
        <f t="shared" si="130"/>
        <v>2.77</v>
      </c>
      <c r="P71" s="125">
        <f t="shared" si="130"/>
        <v>-72000</v>
      </c>
      <c r="Q71" s="123">
        <f t="shared" si="130"/>
        <v>0</v>
      </c>
      <c r="R71" s="123">
        <f t="shared" si="130"/>
        <v>0</v>
      </c>
      <c r="S71" s="123">
        <f t="shared" si="130"/>
        <v>0</v>
      </c>
      <c r="T71" s="123">
        <f t="shared" si="130"/>
        <v>0</v>
      </c>
      <c r="U71" s="123">
        <f t="shared" si="130"/>
        <v>0</v>
      </c>
      <c r="V71" s="123">
        <f t="shared" si="130"/>
        <v>-72000</v>
      </c>
      <c r="W71" s="123">
        <f t="shared" si="130"/>
        <v>72000</v>
      </c>
      <c r="X71" s="123">
        <f t="shared" si="130"/>
        <v>0</v>
      </c>
      <c r="Y71" s="123">
        <f t="shared" si="130"/>
        <v>0</v>
      </c>
      <c r="Z71" s="123">
        <f t="shared" si="130"/>
        <v>72000</v>
      </c>
      <c r="AA71" s="123">
        <f t="shared" si="130"/>
        <v>0</v>
      </c>
      <c r="AB71" s="123">
        <f t="shared" si="130"/>
        <v>0</v>
      </c>
      <c r="AC71" s="123">
        <f t="shared" si="130"/>
        <v>-720</v>
      </c>
      <c r="AD71" s="123">
        <f t="shared" si="130"/>
        <v>0</v>
      </c>
      <c r="AE71" s="123">
        <f t="shared" si="130"/>
        <v>-720</v>
      </c>
      <c r="AF71" s="124">
        <f t="shared" si="130"/>
        <v>-0.12</v>
      </c>
      <c r="AG71" s="124">
        <f t="shared" si="130"/>
        <v>0</v>
      </c>
      <c r="AH71" s="124">
        <f t="shared" si="130"/>
        <v>0</v>
      </c>
      <c r="AI71" s="124">
        <f t="shared" si="130"/>
        <v>0</v>
      </c>
      <c r="AJ71" s="124">
        <f t="shared" si="130"/>
        <v>0</v>
      </c>
      <c r="AK71" s="124">
        <f t="shared" si="130"/>
        <v>0</v>
      </c>
      <c r="AL71" s="126">
        <f t="shared" si="130"/>
        <v>-0.12</v>
      </c>
      <c r="AM71" s="122">
        <f t="shared" si="130"/>
        <v>2379172</v>
      </c>
      <c r="AN71" s="123">
        <f t="shared" si="130"/>
        <v>1586300</v>
      </c>
      <c r="AO71" s="123">
        <f t="shared" si="130"/>
        <v>180000</v>
      </c>
      <c r="AP71" s="123">
        <f t="shared" si="130"/>
        <v>597009</v>
      </c>
      <c r="AQ71" s="123">
        <f t="shared" si="130"/>
        <v>15863</v>
      </c>
      <c r="AR71" s="123">
        <f t="shared" si="130"/>
        <v>0</v>
      </c>
      <c r="AS71" s="124">
        <f t="shared" si="130"/>
        <v>2.65</v>
      </c>
    </row>
    <row r="72" spans="4:45" x14ac:dyDescent="0.2">
      <c r="D72" s="4"/>
      <c r="E72" s="4"/>
      <c r="F72" s="4"/>
      <c r="G72" s="17"/>
      <c r="H72" s="4"/>
    </row>
  </sheetData>
  <mergeCells count="46">
    <mergeCell ref="AL8:AL10"/>
    <mergeCell ref="AA7:AA10"/>
    <mergeCell ref="AD7:AD10"/>
    <mergeCell ref="AF8:AF10"/>
    <mergeCell ref="AG8:AG10"/>
    <mergeCell ref="AH8:AH10"/>
    <mergeCell ref="AJ8:AJ10"/>
    <mergeCell ref="AK8:AK10"/>
    <mergeCell ref="J8:M8"/>
    <mergeCell ref="P9:P10"/>
    <mergeCell ref="S9:S10"/>
    <mergeCell ref="U9:U10"/>
    <mergeCell ref="W9:W10"/>
    <mergeCell ref="T9:T10"/>
    <mergeCell ref="A3:E3"/>
    <mergeCell ref="I8:I10"/>
    <mergeCell ref="I6:O7"/>
    <mergeCell ref="AB7:AB10"/>
    <mergeCell ref="Z9:Z10"/>
    <mergeCell ref="P6:AL6"/>
    <mergeCell ref="Q9:Q10"/>
    <mergeCell ref="R9:R10"/>
    <mergeCell ref="V9:V10"/>
    <mergeCell ref="P7:V8"/>
    <mergeCell ref="M9:M10"/>
    <mergeCell ref="N9:N10"/>
    <mergeCell ref="O8:O10"/>
    <mergeCell ref="J9:J10"/>
    <mergeCell ref="L9:L10"/>
    <mergeCell ref="K9:K10"/>
    <mergeCell ref="AN8:AQ8"/>
    <mergeCell ref="W7:Z8"/>
    <mergeCell ref="AQ9:AQ10"/>
    <mergeCell ref="AF7:AL7"/>
    <mergeCell ref="AM6:AS7"/>
    <mergeCell ref="AS8:AS10"/>
    <mergeCell ref="AR9:AR10"/>
    <mergeCell ref="AM8:AM10"/>
    <mergeCell ref="AN9:AN10"/>
    <mergeCell ref="AP9:AP10"/>
    <mergeCell ref="AO9:AO10"/>
    <mergeCell ref="X9:X10"/>
    <mergeCell ref="AE7:AE10"/>
    <mergeCell ref="AC7:AC10"/>
    <mergeCell ref="AI8:AI10"/>
    <mergeCell ref="Y9:Y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AS239"/>
  <sheetViews>
    <sheetView zoomScaleNormal="100" workbookViewId="0">
      <pane xSplit="8" ySplit="11" topLeftCell="AB212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RowHeight="12.75" x14ac:dyDescent="0.2"/>
  <cols>
    <col min="1" max="1" width="5" customWidth="1"/>
    <col min="2" max="2" width="5.7109375" bestFit="1" customWidth="1"/>
    <col min="3" max="3" width="8.7109375" bestFit="1" customWidth="1"/>
    <col min="4" max="4" width="7.85546875" bestFit="1" customWidth="1"/>
    <col min="5" max="5" width="28.140625" customWidth="1"/>
    <col min="6" max="6" width="5.42578125" customWidth="1"/>
    <col min="7" max="7" width="10.28515625" style="38" customWidth="1"/>
    <col min="8" max="8" width="8" customWidth="1"/>
    <col min="9" max="9" width="12.42578125" style="7" customWidth="1"/>
    <col min="10" max="11" width="12.140625" style="7" customWidth="1"/>
    <col min="12" max="12" width="11.85546875" style="7" customWidth="1"/>
    <col min="13" max="14" width="11.140625" style="7" customWidth="1"/>
    <col min="15" max="15" width="11.85546875" style="6" customWidth="1"/>
    <col min="16" max="18" width="10.28515625" style="7" customWidth="1"/>
    <col min="19" max="19" width="10.5703125" style="7" customWidth="1"/>
    <col min="20" max="20" width="12.140625" style="7" customWidth="1"/>
    <col min="21" max="26" width="10.28515625" style="7" customWidth="1"/>
    <col min="27" max="27" width="11.140625" style="6" customWidth="1"/>
    <col min="28" max="28" width="9.28515625" style="6" customWidth="1"/>
    <col min="29" max="30" width="9.140625" style="7" customWidth="1"/>
    <col min="31" max="31" width="9.7109375" style="7" customWidth="1"/>
    <col min="32" max="33" width="9.140625" style="6" customWidth="1"/>
    <col min="34" max="34" width="10.140625" style="6" customWidth="1"/>
    <col min="35" max="35" width="9.28515625" style="6" customWidth="1"/>
    <col min="36" max="36" width="10.5703125" style="6" customWidth="1"/>
    <col min="37" max="37" width="10.42578125" style="6" customWidth="1"/>
    <col min="38" max="38" width="9.28515625" style="6" customWidth="1"/>
    <col min="39" max="39" width="13.28515625" style="6" customWidth="1"/>
    <col min="40" max="40" width="12.28515625" style="6" customWidth="1"/>
    <col min="41" max="43" width="10.85546875" style="6" customWidth="1"/>
    <col min="44" max="44" width="9.5703125" style="6" customWidth="1"/>
    <col min="45" max="45" width="10.85546875" style="6" customWidth="1"/>
    <col min="142" max="142" width="6.85546875" customWidth="1"/>
    <col min="143" max="143" width="29.85546875" customWidth="1"/>
    <col min="144" max="144" width="6.7109375" customWidth="1"/>
    <col min="145" max="145" width="32.28515625" customWidth="1"/>
    <col min="146" max="146" width="10.85546875" customWidth="1"/>
    <col min="147" max="147" width="11.7109375" customWidth="1"/>
    <col min="148" max="148" width="10.85546875" customWidth="1"/>
    <col min="149" max="149" width="10.5703125" customWidth="1"/>
    <col min="151" max="151" width="10.85546875" customWidth="1"/>
    <col min="154" max="154" width="12" customWidth="1"/>
    <col min="398" max="398" width="6.85546875" customWidth="1"/>
    <col min="399" max="399" width="29.85546875" customWidth="1"/>
    <col min="400" max="400" width="6.7109375" customWidth="1"/>
    <col min="401" max="401" width="32.28515625" customWidth="1"/>
    <col min="402" max="402" width="10.85546875" customWidth="1"/>
    <col min="403" max="403" width="11.7109375" customWidth="1"/>
    <col min="404" max="404" width="10.85546875" customWidth="1"/>
    <col min="405" max="405" width="10.5703125" customWidth="1"/>
    <col min="407" max="407" width="10.85546875" customWidth="1"/>
    <col min="410" max="410" width="12" customWidth="1"/>
    <col min="654" max="654" width="6.85546875" customWidth="1"/>
    <col min="655" max="655" width="29.85546875" customWidth="1"/>
    <col min="656" max="656" width="6.7109375" customWidth="1"/>
    <col min="657" max="657" width="32.28515625" customWidth="1"/>
    <col min="658" max="658" width="10.85546875" customWidth="1"/>
    <col min="659" max="659" width="11.7109375" customWidth="1"/>
    <col min="660" max="660" width="10.85546875" customWidth="1"/>
    <col min="661" max="661" width="10.5703125" customWidth="1"/>
    <col min="663" max="663" width="10.85546875" customWidth="1"/>
    <col min="666" max="666" width="12" customWidth="1"/>
    <col min="910" max="910" width="6.85546875" customWidth="1"/>
    <col min="911" max="911" width="29.85546875" customWidth="1"/>
    <col min="912" max="912" width="6.7109375" customWidth="1"/>
    <col min="913" max="913" width="32.28515625" customWidth="1"/>
    <col min="914" max="914" width="10.85546875" customWidth="1"/>
    <col min="915" max="915" width="11.7109375" customWidth="1"/>
    <col min="916" max="916" width="10.85546875" customWidth="1"/>
    <col min="917" max="917" width="10.5703125" customWidth="1"/>
    <col min="919" max="919" width="10.85546875" customWidth="1"/>
    <col min="922" max="922" width="12" customWidth="1"/>
    <col min="1166" max="1166" width="6.85546875" customWidth="1"/>
    <col min="1167" max="1167" width="29.85546875" customWidth="1"/>
    <col min="1168" max="1168" width="6.7109375" customWidth="1"/>
    <col min="1169" max="1169" width="32.28515625" customWidth="1"/>
    <col min="1170" max="1170" width="10.85546875" customWidth="1"/>
    <col min="1171" max="1171" width="11.7109375" customWidth="1"/>
    <col min="1172" max="1172" width="10.85546875" customWidth="1"/>
    <col min="1173" max="1173" width="10.5703125" customWidth="1"/>
    <col min="1175" max="1175" width="10.85546875" customWidth="1"/>
    <col min="1178" max="1178" width="12" customWidth="1"/>
    <col min="1422" max="1422" width="6.85546875" customWidth="1"/>
    <col min="1423" max="1423" width="29.85546875" customWidth="1"/>
    <col min="1424" max="1424" width="6.7109375" customWidth="1"/>
    <col min="1425" max="1425" width="32.28515625" customWidth="1"/>
    <col min="1426" max="1426" width="10.85546875" customWidth="1"/>
    <col min="1427" max="1427" width="11.7109375" customWidth="1"/>
    <col min="1428" max="1428" width="10.85546875" customWidth="1"/>
    <col min="1429" max="1429" width="10.5703125" customWidth="1"/>
    <col min="1431" max="1431" width="10.85546875" customWidth="1"/>
    <col min="1434" max="1434" width="12" customWidth="1"/>
    <col min="1678" max="1678" width="6.85546875" customWidth="1"/>
    <col min="1679" max="1679" width="29.85546875" customWidth="1"/>
    <col min="1680" max="1680" width="6.7109375" customWidth="1"/>
    <col min="1681" max="1681" width="32.28515625" customWidth="1"/>
    <col min="1682" max="1682" width="10.85546875" customWidth="1"/>
    <col min="1683" max="1683" width="11.7109375" customWidth="1"/>
    <col min="1684" max="1684" width="10.85546875" customWidth="1"/>
    <col min="1685" max="1685" width="10.5703125" customWidth="1"/>
    <col min="1687" max="1687" width="10.85546875" customWidth="1"/>
    <col min="1690" max="1690" width="12" customWidth="1"/>
    <col min="1934" max="1934" width="6.85546875" customWidth="1"/>
    <col min="1935" max="1935" width="29.85546875" customWidth="1"/>
    <col min="1936" max="1936" width="6.7109375" customWidth="1"/>
    <col min="1937" max="1937" width="32.28515625" customWidth="1"/>
    <col min="1938" max="1938" width="10.85546875" customWidth="1"/>
    <col min="1939" max="1939" width="11.7109375" customWidth="1"/>
    <col min="1940" max="1940" width="10.85546875" customWidth="1"/>
    <col min="1941" max="1941" width="10.5703125" customWidth="1"/>
    <col min="1943" max="1943" width="10.85546875" customWidth="1"/>
    <col min="1946" max="1946" width="12" customWidth="1"/>
    <col min="2190" max="2190" width="6.85546875" customWidth="1"/>
    <col min="2191" max="2191" width="29.85546875" customWidth="1"/>
    <col min="2192" max="2192" width="6.7109375" customWidth="1"/>
    <col min="2193" max="2193" width="32.28515625" customWidth="1"/>
    <col min="2194" max="2194" width="10.85546875" customWidth="1"/>
    <col min="2195" max="2195" width="11.7109375" customWidth="1"/>
    <col min="2196" max="2196" width="10.85546875" customWidth="1"/>
    <col min="2197" max="2197" width="10.5703125" customWidth="1"/>
    <col min="2199" max="2199" width="10.85546875" customWidth="1"/>
    <col min="2202" max="2202" width="12" customWidth="1"/>
    <col min="2446" max="2446" width="6.85546875" customWidth="1"/>
    <col min="2447" max="2447" width="29.85546875" customWidth="1"/>
    <col min="2448" max="2448" width="6.7109375" customWidth="1"/>
    <col min="2449" max="2449" width="32.28515625" customWidth="1"/>
    <col min="2450" max="2450" width="10.85546875" customWidth="1"/>
    <col min="2451" max="2451" width="11.7109375" customWidth="1"/>
    <col min="2452" max="2452" width="10.85546875" customWidth="1"/>
    <col min="2453" max="2453" width="10.5703125" customWidth="1"/>
    <col min="2455" max="2455" width="10.85546875" customWidth="1"/>
    <col min="2458" max="2458" width="12" customWidth="1"/>
    <col min="2702" max="2702" width="6.85546875" customWidth="1"/>
    <col min="2703" max="2703" width="29.85546875" customWidth="1"/>
    <col min="2704" max="2704" width="6.7109375" customWidth="1"/>
    <col min="2705" max="2705" width="32.28515625" customWidth="1"/>
    <col min="2706" max="2706" width="10.85546875" customWidth="1"/>
    <col min="2707" max="2707" width="11.7109375" customWidth="1"/>
    <col min="2708" max="2708" width="10.85546875" customWidth="1"/>
    <col min="2709" max="2709" width="10.5703125" customWidth="1"/>
    <col min="2711" max="2711" width="10.85546875" customWidth="1"/>
    <col min="2714" max="2714" width="12" customWidth="1"/>
    <col min="2958" max="2958" width="6.85546875" customWidth="1"/>
    <col min="2959" max="2959" width="29.85546875" customWidth="1"/>
    <col min="2960" max="2960" width="6.7109375" customWidth="1"/>
    <col min="2961" max="2961" width="32.28515625" customWidth="1"/>
    <col min="2962" max="2962" width="10.85546875" customWidth="1"/>
    <col min="2963" max="2963" width="11.7109375" customWidth="1"/>
    <col min="2964" max="2964" width="10.85546875" customWidth="1"/>
    <col min="2965" max="2965" width="10.5703125" customWidth="1"/>
    <col min="2967" max="2967" width="10.85546875" customWidth="1"/>
    <col min="2970" max="2970" width="12" customWidth="1"/>
    <col min="3214" max="3214" width="6.85546875" customWidth="1"/>
    <col min="3215" max="3215" width="29.85546875" customWidth="1"/>
    <col min="3216" max="3216" width="6.7109375" customWidth="1"/>
    <col min="3217" max="3217" width="32.28515625" customWidth="1"/>
    <col min="3218" max="3218" width="10.85546875" customWidth="1"/>
    <col min="3219" max="3219" width="11.7109375" customWidth="1"/>
    <col min="3220" max="3220" width="10.85546875" customWidth="1"/>
    <col min="3221" max="3221" width="10.5703125" customWidth="1"/>
    <col min="3223" max="3223" width="10.85546875" customWidth="1"/>
    <col min="3226" max="3226" width="12" customWidth="1"/>
    <col min="3470" max="3470" width="6.85546875" customWidth="1"/>
    <col min="3471" max="3471" width="29.85546875" customWidth="1"/>
    <col min="3472" max="3472" width="6.7109375" customWidth="1"/>
    <col min="3473" max="3473" width="32.28515625" customWidth="1"/>
    <col min="3474" max="3474" width="10.85546875" customWidth="1"/>
    <col min="3475" max="3475" width="11.7109375" customWidth="1"/>
    <col min="3476" max="3476" width="10.85546875" customWidth="1"/>
    <col min="3477" max="3477" width="10.5703125" customWidth="1"/>
    <col min="3479" max="3479" width="10.85546875" customWidth="1"/>
    <col min="3482" max="3482" width="12" customWidth="1"/>
    <col min="3726" max="3726" width="6.85546875" customWidth="1"/>
    <col min="3727" max="3727" width="29.85546875" customWidth="1"/>
    <col min="3728" max="3728" width="6.7109375" customWidth="1"/>
    <col min="3729" max="3729" width="32.28515625" customWidth="1"/>
    <col min="3730" max="3730" width="10.85546875" customWidth="1"/>
    <col min="3731" max="3731" width="11.7109375" customWidth="1"/>
    <col min="3732" max="3732" width="10.85546875" customWidth="1"/>
    <col min="3733" max="3733" width="10.5703125" customWidth="1"/>
    <col min="3735" max="3735" width="10.85546875" customWidth="1"/>
    <col min="3738" max="3738" width="12" customWidth="1"/>
    <col min="3982" max="3982" width="6.85546875" customWidth="1"/>
    <col min="3983" max="3983" width="29.85546875" customWidth="1"/>
    <col min="3984" max="3984" width="6.7109375" customWidth="1"/>
    <col min="3985" max="3985" width="32.28515625" customWidth="1"/>
    <col min="3986" max="3986" width="10.85546875" customWidth="1"/>
    <col min="3987" max="3987" width="11.7109375" customWidth="1"/>
    <col min="3988" max="3988" width="10.85546875" customWidth="1"/>
    <col min="3989" max="3989" width="10.5703125" customWidth="1"/>
    <col min="3991" max="3991" width="10.85546875" customWidth="1"/>
    <col min="3994" max="3994" width="12" customWidth="1"/>
    <col min="4238" max="4238" width="6.85546875" customWidth="1"/>
    <col min="4239" max="4239" width="29.85546875" customWidth="1"/>
    <col min="4240" max="4240" width="6.7109375" customWidth="1"/>
    <col min="4241" max="4241" width="32.28515625" customWidth="1"/>
    <col min="4242" max="4242" width="10.85546875" customWidth="1"/>
    <col min="4243" max="4243" width="11.7109375" customWidth="1"/>
    <col min="4244" max="4244" width="10.85546875" customWidth="1"/>
    <col min="4245" max="4245" width="10.5703125" customWidth="1"/>
    <col min="4247" max="4247" width="10.85546875" customWidth="1"/>
    <col min="4250" max="4250" width="12" customWidth="1"/>
    <col min="4494" max="4494" width="6.85546875" customWidth="1"/>
    <col min="4495" max="4495" width="29.85546875" customWidth="1"/>
    <col min="4496" max="4496" width="6.7109375" customWidth="1"/>
    <col min="4497" max="4497" width="32.28515625" customWidth="1"/>
    <col min="4498" max="4498" width="10.85546875" customWidth="1"/>
    <col min="4499" max="4499" width="11.7109375" customWidth="1"/>
    <col min="4500" max="4500" width="10.85546875" customWidth="1"/>
    <col min="4501" max="4501" width="10.5703125" customWidth="1"/>
    <col min="4503" max="4503" width="10.85546875" customWidth="1"/>
    <col min="4506" max="4506" width="12" customWidth="1"/>
    <col min="4750" max="4750" width="6.85546875" customWidth="1"/>
    <col min="4751" max="4751" width="29.85546875" customWidth="1"/>
    <col min="4752" max="4752" width="6.7109375" customWidth="1"/>
    <col min="4753" max="4753" width="32.28515625" customWidth="1"/>
    <col min="4754" max="4754" width="10.85546875" customWidth="1"/>
    <col min="4755" max="4755" width="11.7109375" customWidth="1"/>
    <col min="4756" max="4756" width="10.85546875" customWidth="1"/>
    <col min="4757" max="4757" width="10.5703125" customWidth="1"/>
    <col min="4759" max="4759" width="10.85546875" customWidth="1"/>
    <col min="4762" max="4762" width="12" customWidth="1"/>
    <col min="5006" max="5006" width="6.85546875" customWidth="1"/>
    <col min="5007" max="5007" width="29.85546875" customWidth="1"/>
    <col min="5008" max="5008" width="6.7109375" customWidth="1"/>
    <col min="5009" max="5009" width="32.28515625" customWidth="1"/>
    <col min="5010" max="5010" width="10.85546875" customWidth="1"/>
    <col min="5011" max="5011" width="11.7109375" customWidth="1"/>
    <col min="5012" max="5012" width="10.85546875" customWidth="1"/>
    <col min="5013" max="5013" width="10.5703125" customWidth="1"/>
    <col min="5015" max="5015" width="10.85546875" customWidth="1"/>
    <col min="5018" max="5018" width="12" customWidth="1"/>
    <col min="5262" max="5262" width="6.85546875" customWidth="1"/>
    <col min="5263" max="5263" width="29.85546875" customWidth="1"/>
    <col min="5264" max="5264" width="6.7109375" customWidth="1"/>
    <col min="5265" max="5265" width="32.28515625" customWidth="1"/>
    <col min="5266" max="5266" width="10.85546875" customWidth="1"/>
    <col min="5267" max="5267" width="11.7109375" customWidth="1"/>
    <col min="5268" max="5268" width="10.85546875" customWidth="1"/>
    <col min="5269" max="5269" width="10.5703125" customWidth="1"/>
    <col min="5271" max="5271" width="10.85546875" customWidth="1"/>
    <col min="5274" max="5274" width="12" customWidth="1"/>
    <col min="5518" max="5518" width="6.85546875" customWidth="1"/>
    <col min="5519" max="5519" width="29.85546875" customWidth="1"/>
    <col min="5520" max="5520" width="6.7109375" customWidth="1"/>
    <col min="5521" max="5521" width="32.28515625" customWidth="1"/>
    <col min="5522" max="5522" width="10.85546875" customWidth="1"/>
    <col min="5523" max="5523" width="11.7109375" customWidth="1"/>
    <col min="5524" max="5524" width="10.85546875" customWidth="1"/>
    <col min="5525" max="5525" width="10.5703125" customWidth="1"/>
    <col min="5527" max="5527" width="10.85546875" customWidth="1"/>
    <col min="5530" max="5530" width="12" customWidth="1"/>
    <col min="5774" max="5774" width="6.85546875" customWidth="1"/>
    <col min="5775" max="5775" width="29.85546875" customWidth="1"/>
    <col min="5776" max="5776" width="6.7109375" customWidth="1"/>
    <col min="5777" max="5777" width="32.28515625" customWidth="1"/>
    <col min="5778" max="5778" width="10.85546875" customWidth="1"/>
    <col min="5779" max="5779" width="11.7109375" customWidth="1"/>
    <col min="5780" max="5780" width="10.85546875" customWidth="1"/>
    <col min="5781" max="5781" width="10.5703125" customWidth="1"/>
    <col min="5783" max="5783" width="10.85546875" customWidth="1"/>
    <col min="5786" max="5786" width="12" customWidth="1"/>
    <col min="6030" max="6030" width="6.85546875" customWidth="1"/>
    <col min="6031" max="6031" width="29.85546875" customWidth="1"/>
    <col min="6032" max="6032" width="6.7109375" customWidth="1"/>
    <col min="6033" max="6033" width="32.28515625" customWidth="1"/>
    <col min="6034" max="6034" width="10.85546875" customWidth="1"/>
    <col min="6035" max="6035" width="11.7109375" customWidth="1"/>
    <col min="6036" max="6036" width="10.85546875" customWidth="1"/>
    <col min="6037" max="6037" width="10.5703125" customWidth="1"/>
    <col min="6039" max="6039" width="10.85546875" customWidth="1"/>
    <col min="6042" max="6042" width="12" customWidth="1"/>
    <col min="6286" max="6286" width="6.85546875" customWidth="1"/>
    <col min="6287" max="6287" width="29.85546875" customWidth="1"/>
    <col min="6288" max="6288" width="6.7109375" customWidth="1"/>
    <col min="6289" max="6289" width="32.28515625" customWidth="1"/>
    <col min="6290" max="6290" width="10.85546875" customWidth="1"/>
    <col min="6291" max="6291" width="11.7109375" customWidth="1"/>
    <col min="6292" max="6292" width="10.85546875" customWidth="1"/>
    <col min="6293" max="6293" width="10.5703125" customWidth="1"/>
    <col min="6295" max="6295" width="10.85546875" customWidth="1"/>
    <col min="6298" max="6298" width="12" customWidth="1"/>
    <col min="6542" max="6542" width="6.85546875" customWidth="1"/>
    <col min="6543" max="6543" width="29.85546875" customWidth="1"/>
    <col min="6544" max="6544" width="6.7109375" customWidth="1"/>
    <col min="6545" max="6545" width="32.28515625" customWidth="1"/>
    <col min="6546" max="6546" width="10.85546875" customWidth="1"/>
    <col min="6547" max="6547" width="11.7109375" customWidth="1"/>
    <col min="6548" max="6548" width="10.85546875" customWidth="1"/>
    <col min="6549" max="6549" width="10.5703125" customWidth="1"/>
    <col min="6551" max="6551" width="10.85546875" customWidth="1"/>
    <col min="6554" max="6554" width="12" customWidth="1"/>
    <col min="6798" max="6798" width="6.85546875" customWidth="1"/>
    <col min="6799" max="6799" width="29.85546875" customWidth="1"/>
    <col min="6800" max="6800" width="6.7109375" customWidth="1"/>
    <col min="6801" max="6801" width="32.28515625" customWidth="1"/>
    <col min="6802" max="6802" width="10.85546875" customWidth="1"/>
    <col min="6803" max="6803" width="11.7109375" customWidth="1"/>
    <col min="6804" max="6804" width="10.85546875" customWidth="1"/>
    <col min="6805" max="6805" width="10.5703125" customWidth="1"/>
    <col min="6807" max="6807" width="10.85546875" customWidth="1"/>
    <col min="6810" max="6810" width="12" customWidth="1"/>
    <col min="7054" max="7054" width="6.85546875" customWidth="1"/>
    <col min="7055" max="7055" width="29.85546875" customWidth="1"/>
    <col min="7056" max="7056" width="6.7109375" customWidth="1"/>
    <col min="7057" max="7057" width="32.28515625" customWidth="1"/>
    <col min="7058" max="7058" width="10.85546875" customWidth="1"/>
    <col min="7059" max="7059" width="11.7109375" customWidth="1"/>
    <col min="7060" max="7060" width="10.85546875" customWidth="1"/>
    <col min="7061" max="7061" width="10.5703125" customWidth="1"/>
    <col min="7063" max="7063" width="10.85546875" customWidth="1"/>
    <col min="7066" max="7066" width="12" customWidth="1"/>
    <col min="7310" max="7310" width="6.85546875" customWidth="1"/>
    <col min="7311" max="7311" width="29.85546875" customWidth="1"/>
    <col min="7312" max="7312" width="6.7109375" customWidth="1"/>
    <col min="7313" max="7313" width="32.28515625" customWidth="1"/>
    <col min="7314" max="7314" width="10.85546875" customWidth="1"/>
    <col min="7315" max="7315" width="11.7109375" customWidth="1"/>
    <col min="7316" max="7316" width="10.85546875" customWidth="1"/>
    <col min="7317" max="7317" width="10.5703125" customWidth="1"/>
    <col min="7319" max="7319" width="10.85546875" customWidth="1"/>
    <col min="7322" max="7322" width="12" customWidth="1"/>
    <col min="7566" max="7566" width="6.85546875" customWidth="1"/>
    <col min="7567" max="7567" width="29.85546875" customWidth="1"/>
    <col min="7568" max="7568" width="6.7109375" customWidth="1"/>
    <col min="7569" max="7569" width="32.28515625" customWidth="1"/>
    <col min="7570" max="7570" width="10.85546875" customWidth="1"/>
    <col min="7571" max="7571" width="11.7109375" customWidth="1"/>
    <col min="7572" max="7572" width="10.85546875" customWidth="1"/>
    <col min="7573" max="7573" width="10.5703125" customWidth="1"/>
    <col min="7575" max="7575" width="10.85546875" customWidth="1"/>
    <col min="7578" max="7578" width="12" customWidth="1"/>
    <col min="7822" max="7822" width="6.85546875" customWidth="1"/>
    <col min="7823" max="7823" width="29.85546875" customWidth="1"/>
    <col min="7824" max="7824" width="6.7109375" customWidth="1"/>
    <col min="7825" max="7825" width="32.28515625" customWidth="1"/>
    <col min="7826" max="7826" width="10.85546875" customWidth="1"/>
    <col min="7827" max="7827" width="11.7109375" customWidth="1"/>
    <col min="7828" max="7828" width="10.85546875" customWidth="1"/>
    <col min="7829" max="7829" width="10.5703125" customWidth="1"/>
    <col min="7831" max="7831" width="10.85546875" customWidth="1"/>
    <col min="7834" max="7834" width="12" customWidth="1"/>
    <col min="8078" max="8078" width="6.85546875" customWidth="1"/>
    <col min="8079" max="8079" width="29.85546875" customWidth="1"/>
    <col min="8080" max="8080" width="6.7109375" customWidth="1"/>
    <col min="8081" max="8081" width="32.28515625" customWidth="1"/>
    <col min="8082" max="8082" width="10.85546875" customWidth="1"/>
    <col min="8083" max="8083" width="11.7109375" customWidth="1"/>
    <col min="8084" max="8084" width="10.85546875" customWidth="1"/>
    <col min="8085" max="8085" width="10.5703125" customWidth="1"/>
    <col min="8087" max="8087" width="10.85546875" customWidth="1"/>
    <col min="8090" max="8090" width="12" customWidth="1"/>
    <col min="8334" max="8334" width="6.85546875" customWidth="1"/>
    <col min="8335" max="8335" width="29.85546875" customWidth="1"/>
    <col min="8336" max="8336" width="6.7109375" customWidth="1"/>
    <col min="8337" max="8337" width="32.28515625" customWidth="1"/>
    <col min="8338" max="8338" width="10.85546875" customWidth="1"/>
    <col min="8339" max="8339" width="11.7109375" customWidth="1"/>
    <col min="8340" max="8340" width="10.85546875" customWidth="1"/>
    <col min="8341" max="8341" width="10.5703125" customWidth="1"/>
    <col min="8343" max="8343" width="10.85546875" customWidth="1"/>
    <col min="8346" max="8346" width="12" customWidth="1"/>
    <col min="8590" max="8590" width="6.85546875" customWidth="1"/>
    <col min="8591" max="8591" width="29.85546875" customWidth="1"/>
    <col min="8592" max="8592" width="6.7109375" customWidth="1"/>
    <col min="8593" max="8593" width="32.28515625" customWidth="1"/>
    <col min="8594" max="8594" width="10.85546875" customWidth="1"/>
    <col min="8595" max="8595" width="11.7109375" customWidth="1"/>
    <col min="8596" max="8596" width="10.85546875" customWidth="1"/>
    <col min="8597" max="8597" width="10.5703125" customWidth="1"/>
    <col min="8599" max="8599" width="10.85546875" customWidth="1"/>
    <col min="8602" max="8602" width="12" customWidth="1"/>
    <col min="8846" max="8846" width="6.85546875" customWidth="1"/>
    <col min="8847" max="8847" width="29.85546875" customWidth="1"/>
    <col min="8848" max="8848" width="6.7109375" customWidth="1"/>
    <col min="8849" max="8849" width="32.28515625" customWidth="1"/>
    <col min="8850" max="8850" width="10.85546875" customWidth="1"/>
    <col min="8851" max="8851" width="11.7109375" customWidth="1"/>
    <col min="8852" max="8852" width="10.85546875" customWidth="1"/>
    <col min="8853" max="8853" width="10.5703125" customWidth="1"/>
    <col min="8855" max="8855" width="10.85546875" customWidth="1"/>
    <col min="8858" max="8858" width="12" customWidth="1"/>
    <col min="9102" max="9102" width="6.85546875" customWidth="1"/>
    <col min="9103" max="9103" width="29.85546875" customWidth="1"/>
    <col min="9104" max="9104" width="6.7109375" customWidth="1"/>
    <col min="9105" max="9105" width="32.28515625" customWidth="1"/>
    <col min="9106" max="9106" width="10.85546875" customWidth="1"/>
    <col min="9107" max="9107" width="11.7109375" customWidth="1"/>
    <col min="9108" max="9108" width="10.85546875" customWidth="1"/>
    <col min="9109" max="9109" width="10.5703125" customWidth="1"/>
    <col min="9111" max="9111" width="10.85546875" customWidth="1"/>
    <col min="9114" max="9114" width="12" customWidth="1"/>
    <col min="9358" max="9358" width="6.85546875" customWidth="1"/>
    <col min="9359" max="9359" width="29.85546875" customWidth="1"/>
    <col min="9360" max="9360" width="6.7109375" customWidth="1"/>
    <col min="9361" max="9361" width="32.28515625" customWidth="1"/>
    <col min="9362" max="9362" width="10.85546875" customWidth="1"/>
    <col min="9363" max="9363" width="11.7109375" customWidth="1"/>
    <col min="9364" max="9364" width="10.85546875" customWidth="1"/>
    <col min="9365" max="9365" width="10.5703125" customWidth="1"/>
    <col min="9367" max="9367" width="10.85546875" customWidth="1"/>
    <col min="9370" max="9370" width="12" customWidth="1"/>
    <col min="9614" max="9614" width="6.85546875" customWidth="1"/>
    <col min="9615" max="9615" width="29.85546875" customWidth="1"/>
    <col min="9616" max="9616" width="6.7109375" customWidth="1"/>
    <col min="9617" max="9617" width="32.28515625" customWidth="1"/>
    <col min="9618" max="9618" width="10.85546875" customWidth="1"/>
    <col min="9619" max="9619" width="11.7109375" customWidth="1"/>
    <col min="9620" max="9620" width="10.85546875" customWidth="1"/>
    <col min="9621" max="9621" width="10.5703125" customWidth="1"/>
    <col min="9623" max="9623" width="10.85546875" customWidth="1"/>
    <col min="9626" max="9626" width="12" customWidth="1"/>
    <col min="9870" max="9870" width="6.85546875" customWidth="1"/>
    <col min="9871" max="9871" width="29.85546875" customWidth="1"/>
    <col min="9872" max="9872" width="6.7109375" customWidth="1"/>
    <col min="9873" max="9873" width="32.28515625" customWidth="1"/>
    <col min="9874" max="9874" width="10.85546875" customWidth="1"/>
    <col min="9875" max="9875" width="11.7109375" customWidth="1"/>
    <col min="9876" max="9876" width="10.85546875" customWidth="1"/>
    <col min="9877" max="9877" width="10.5703125" customWidth="1"/>
    <col min="9879" max="9879" width="10.85546875" customWidth="1"/>
    <col min="9882" max="9882" width="12" customWidth="1"/>
    <col min="10126" max="10126" width="6.85546875" customWidth="1"/>
    <col min="10127" max="10127" width="29.85546875" customWidth="1"/>
    <col min="10128" max="10128" width="6.7109375" customWidth="1"/>
    <col min="10129" max="10129" width="32.28515625" customWidth="1"/>
    <col min="10130" max="10130" width="10.85546875" customWidth="1"/>
    <col min="10131" max="10131" width="11.7109375" customWidth="1"/>
    <col min="10132" max="10132" width="10.85546875" customWidth="1"/>
    <col min="10133" max="10133" width="10.5703125" customWidth="1"/>
    <col min="10135" max="10135" width="10.85546875" customWidth="1"/>
    <col min="10138" max="10138" width="12" customWidth="1"/>
    <col min="10382" max="10382" width="6.85546875" customWidth="1"/>
    <col min="10383" max="10383" width="29.85546875" customWidth="1"/>
    <col min="10384" max="10384" width="6.7109375" customWidth="1"/>
    <col min="10385" max="10385" width="32.28515625" customWidth="1"/>
    <col min="10386" max="10386" width="10.85546875" customWidth="1"/>
    <col min="10387" max="10387" width="11.7109375" customWidth="1"/>
    <col min="10388" max="10388" width="10.85546875" customWidth="1"/>
    <col min="10389" max="10389" width="10.5703125" customWidth="1"/>
    <col min="10391" max="10391" width="10.85546875" customWidth="1"/>
    <col min="10394" max="10394" width="12" customWidth="1"/>
    <col min="10638" max="10638" width="6.85546875" customWidth="1"/>
    <col min="10639" max="10639" width="29.85546875" customWidth="1"/>
    <col min="10640" max="10640" width="6.7109375" customWidth="1"/>
    <col min="10641" max="10641" width="32.28515625" customWidth="1"/>
    <col min="10642" max="10642" width="10.85546875" customWidth="1"/>
    <col min="10643" max="10643" width="11.7109375" customWidth="1"/>
    <col min="10644" max="10644" width="10.85546875" customWidth="1"/>
    <col min="10645" max="10645" width="10.5703125" customWidth="1"/>
    <col min="10647" max="10647" width="10.85546875" customWidth="1"/>
    <col min="10650" max="10650" width="12" customWidth="1"/>
    <col min="10894" max="10894" width="6.85546875" customWidth="1"/>
    <col min="10895" max="10895" width="29.85546875" customWidth="1"/>
    <col min="10896" max="10896" width="6.7109375" customWidth="1"/>
    <col min="10897" max="10897" width="32.28515625" customWidth="1"/>
    <col min="10898" max="10898" width="10.85546875" customWidth="1"/>
    <col min="10899" max="10899" width="11.7109375" customWidth="1"/>
    <col min="10900" max="10900" width="10.85546875" customWidth="1"/>
    <col min="10901" max="10901" width="10.5703125" customWidth="1"/>
    <col min="10903" max="10903" width="10.85546875" customWidth="1"/>
    <col min="10906" max="10906" width="12" customWidth="1"/>
    <col min="11150" max="11150" width="6.85546875" customWidth="1"/>
    <col min="11151" max="11151" width="29.85546875" customWidth="1"/>
    <col min="11152" max="11152" width="6.7109375" customWidth="1"/>
    <col min="11153" max="11153" width="32.28515625" customWidth="1"/>
    <col min="11154" max="11154" width="10.85546875" customWidth="1"/>
    <col min="11155" max="11155" width="11.7109375" customWidth="1"/>
    <col min="11156" max="11156" width="10.85546875" customWidth="1"/>
    <col min="11157" max="11157" width="10.5703125" customWidth="1"/>
    <col min="11159" max="11159" width="10.85546875" customWidth="1"/>
    <col min="11162" max="11162" width="12" customWidth="1"/>
    <col min="11406" max="11406" width="6.85546875" customWidth="1"/>
    <col min="11407" max="11407" width="29.85546875" customWidth="1"/>
    <col min="11408" max="11408" width="6.7109375" customWidth="1"/>
    <col min="11409" max="11409" width="32.28515625" customWidth="1"/>
    <col min="11410" max="11410" width="10.85546875" customWidth="1"/>
    <col min="11411" max="11411" width="11.7109375" customWidth="1"/>
    <col min="11412" max="11412" width="10.85546875" customWidth="1"/>
    <col min="11413" max="11413" width="10.5703125" customWidth="1"/>
    <col min="11415" max="11415" width="10.85546875" customWidth="1"/>
    <col min="11418" max="11418" width="12" customWidth="1"/>
    <col min="11662" max="11662" width="6.85546875" customWidth="1"/>
    <col min="11663" max="11663" width="29.85546875" customWidth="1"/>
    <col min="11664" max="11664" width="6.7109375" customWidth="1"/>
    <col min="11665" max="11665" width="32.28515625" customWidth="1"/>
    <col min="11666" max="11666" width="10.85546875" customWidth="1"/>
    <col min="11667" max="11667" width="11.7109375" customWidth="1"/>
    <col min="11668" max="11668" width="10.85546875" customWidth="1"/>
    <col min="11669" max="11669" width="10.5703125" customWidth="1"/>
    <col min="11671" max="11671" width="10.85546875" customWidth="1"/>
    <col min="11674" max="11674" width="12" customWidth="1"/>
    <col min="11918" max="11918" width="6.85546875" customWidth="1"/>
    <col min="11919" max="11919" width="29.85546875" customWidth="1"/>
    <col min="11920" max="11920" width="6.7109375" customWidth="1"/>
    <col min="11921" max="11921" width="32.28515625" customWidth="1"/>
    <col min="11922" max="11922" width="10.85546875" customWidth="1"/>
    <col min="11923" max="11923" width="11.7109375" customWidth="1"/>
    <col min="11924" max="11924" width="10.85546875" customWidth="1"/>
    <col min="11925" max="11925" width="10.5703125" customWidth="1"/>
    <col min="11927" max="11927" width="10.85546875" customWidth="1"/>
    <col min="11930" max="11930" width="12" customWidth="1"/>
    <col min="12174" max="12174" width="6.85546875" customWidth="1"/>
    <col min="12175" max="12175" width="29.85546875" customWidth="1"/>
    <col min="12176" max="12176" width="6.7109375" customWidth="1"/>
    <col min="12177" max="12177" width="32.28515625" customWidth="1"/>
    <col min="12178" max="12178" width="10.85546875" customWidth="1"/>
    <col min="12179" max="12179" width="11.7109375" customWidth="1"/>
    <col min="12180" max="12180" width="10.85546875" customWidth="1"/>
    <col min="12181" max="12181" width="10.5703125" customWidth="1"/>
    <col min="12183" max="12183" width="10.85546875" customWidth="1"/>
    <col min="12186" max="12186" width="12" customWidth="1"/>
    <col min="12430" max="12430" width="6.85546875" customWidth="1"/>
    <col min="12431" max="12431" width="29.85546875" customWidth="1"/>
    <col min="12432" max="12432" width="6.7109375" customWidth="1"/>
    <col min="12433" max="12433" width="32.28515625" customWidth="1"/>
    <col min="12434" max="12434" width="10.85546875" customWidth="1"/>
    <col min="12435" max="12435" width="11.7109375" customWidth="1"/>
    <col min="12436" max="12436" width="10.85546875" customWidth="1"/>
    <col min="12437" max="12437" width="10.5703125" customWidth="1"/>
    <col min="12439" max="12439" width="10.85546875" customWidth="1"/>
    <col min="12442" max="12442" width="12" customWidth="1"/>
    <col min="12686" max="12686" width="6.85546875" customWidth="1"/>
    <col min="12687" max="12687" width="29.85546875" customWidth="1"/>
    <col min="12688" max="12688" width="6.7109375" customWidth="1"/>
    <col min="12689" max="12689" width="32.28515625" customWidth="1"/>
    <col min="12690" max="12690" width="10.85546875" customWidth="1"/>
    <col min="12691" max="12691" width="11.7109375" customWidth="1"/>
    <col min="12692" max="12692" width="10.85546875" customWidth="1"/>
    <col min="12693" max="12693" width="10.5703125" customWidth="1"/>
    <col min="12695" max="12695" width="10.85546875" customWidth="1"/>
    <col min="12698" max="12698" width="12" customWidth="1"/>
    <col min="12942" max="12942" width="6.85546875" customWidth="1"/>
    <col min="12943" max="12943" width="29.85546875" customWidth="1"/>
    <col min="12944" max="12944" width="6.7109375" customWidth="1"/>
    <col min="12945" max="12945" width="32.28515625" customWidth="1"/>
    <col min="12946" max="12946" width="10.85546875" customWidth="1"/>
    <col min="12947" max="12947" width="11.7109375" customWidth="1"/>
    <col min="12948" max="12948" width="10.85546875" customWidth="1"/>
    <col min="12949" max="12949" width="10.5703125" customWidth="1"/>
    <col min="12951" max="12951" width="10.85546875" customWidth="1"/>
    <col min="12954" max="12954" width="12" customWidth="1"/>
    <col min="13198" max="13198" width="6.85546875" customWidth="1"/>
    <col min="13199" max="13199" width="29.85546875" customWidth="1"/>
    <col min="13200" max="13200" width="6.7109375" customWidth="1"/>
    <col min="13201" max="13201" width="32.28515625" customWidth="1"/>
    <col min="13202" max="13202" width="10.85546875" customWidth="1"/>
    <col min="13203" max="13203" width="11.7109375" customWidth="1"/>
    <col min="13204" max="13204" width="10.85546875" customWidth="1"/>
    <col min="13205" max="13205" width="10.5703125" customWidth="1"/>
    <col min="13207" max="13207" width="10.85546875" customWidth="1"/>
    <col min="13210" max="13210" width="12" customWidth="1"/>
    <col min="13454" max="13454" width="6.85546875" customWidth="1"/>
    <col min="13455" max="13455" width="29.85546875" customWidth="1"/>
    <col min="13456" max="13456" width="6.7109375" customWidth="1"/>
    <col min="13457" max="13457" width="32.28515625" customWidth="1"/>
    <col min="13458" max="13458" width="10.85546875" customWidth="1"/>
    <col min="13459" max="13459" width="11.7109375" customWidth="1"/>
    <col min="13460" max="13460" width="10.85546875" customWidth="1"/>
    <col min="13461" max="13461" width="10.5703125" customWidth="1"/>
    <col min="13463" max="13463" width="10.85546875" customWidth="1"/>
    <col min="13466" max="13466" width="12" customWidth="1"/>
    <col min="13710" max="13710" width="6.85546875" customWidth="1"/>
    <col min="13711" max="13711" width="29.85546875" customWidth="1"/>
    <col min="13712" max="13712" width="6.7109375" customWidth="1"/>
    <col min="13713" max="13713" width="32.28515625" customWidth="1"/>
    <col min="13714" max="13714" width="10.85546875" customWidth="1"/>
    <col min="13715" max="13715" width="11.7109375" customWidth="1"/>
    <col min="13716" max="13716" width="10.85546875" customWidth="1"/>
    <col min="13717" max="13717" width="10.5703125" customWidth="1"/>
    <col min="13719" max="13719" width="10.85546875" customWidth="1"/>
    <col min="13722" max="13722" width="12" customWidth="1"/>
    <col min="13966" max="13966" width="6.85546875" customWidth="1"/>
    <col min="13967" max="13967" width="29.85546875" customWidth="1"/>
    <col min="13968" max="13968" width="6.7109375" customWidth="1"/>
    <col min="13969" max="13969" width="32.28515625" customWidth="1"/>
    <col min="13970" max="13970" width="10.85546875" customWidth="1"/>
    <col min="13971" max="13971" width="11.7109375" customWidth="1"/>
    <col min="13972" max="13972" width="10.85546875" customWidth="1"/>
    <col min="13973" max="13973" width="10.5703125" customWidth="1"/>
    <col min="13975" max="13975" width="10.85546875" customWidth="1"/>
    <col min="13978" max="13978" width="12" customWidth="1"/>
    <col min="14222" max="14222" width="6.85546875" customWidth="1"/>
    <col min="14223" max="14223" width="29.85546875" customWidth="1"/>
    <col min="14224" max="14224" width="6.7109375" customWidth="1"/>
    <col min="14225" max="14225" width="32.28515625" customWidth="1"/>
    <col min="14226" max="14226" width="10.85546875" customWidth="1"/>
    <col min="14227" max="14227" width="11.7109375" customWidth="1"/>
    <col min="14228" max="14228" width="10.85546875" customWidth="1"/>
    <col min="14229" max="14229" width="10.5703125" customWidth="1"/>
    <col min="14231" max="14231" width="10.85546875" customWidth="1"/>
    <col min="14234" max="14234" width="12" customWidth="1"/>
    <col min="14478" max="14478" width="6.85546875" customWidth="1"/>
    <col min="14479" max="14479" width="29.85546875" customWidth="1"/>
    <col min="14480" max="14480" width="6.7109375" customWidth="1"/>
    <col min="14481" max="14481" width="32.28515625" customWidth="1"/>
    <col min="14482" max="14482" width="10.85546875" customWidth="1"/>
    <col min="14483" max="14483" width="11.7109375" customWidth="1"/>
    <col min="14484" max="14484" width="10.85546875" customWidth="1"/>
    <col min="14485" max="14485" width="10.5703125" customWidth="1"/>
    <col min="14487" max="14487" width="10.85546875" customWidth="1"/>
    <col min="14490" max="14490" width="12" customWidth="1"/>
    <col min="14734" max="14734" width="6.85546875" customWidth="1"/>
    <col min="14735" max="14735" width="29.85546875" customWidth="1"/>
    <col min="14736" max="14736" width="6.7109375" customWidth="1"/>
    <col min="14737" max="14737" width="32.28515625" customWidth="1"/>
    <col min="14738" max="14738" width="10.85546875" customWidth="1"/>
    <col min="14739" max="14739" width="11.7109375" customWidth="1"/>
    <col min="14740" max="14740" width="10.85546875" customWidth="1"/>
    <col min="14741" max="14741" width="10.5703125" customWidth="1"/>
    <col min="14743" max="14743" width="10.85546875" customWidth="1"/>
    <col min="14746" max="14746" width="12" customWidth="1"/>
    <col min="14990" max="14990" width="6.85546875" customWidth="1"/>
    <col min="14991" max="14991" width="29.85546875" customWidth="1"/>
    <col min="14992" max="14992" width="6.7109375" customWidth="1"/>
    <col min="14993" max="14993" width="32.28515625" customWidth="1"/>
    <col min="14994" max="14994" width="10.85546875" customWidth="1"/>
    <col min="14995" max="14995" width="11.7109375" customWidth="1"/>
    <col min="14996" max="14996" width="10.85546875" customWidth="1"/>
    <col min="14997" max="14997" width="10.5703125" customWidth="1"/>
    <col min="14999" max="14999" width="10.85546875" customWidth="1"/>
    <col min="15002" max="15002" width="12" customWidth="1"/>
    <col min="15246" max="15246" width="6.85546875" customWidth="1"/>
    <col min="15247" max="15247" width="29.85546875" customWidth="1"/>
    <col min="15248" max="15248" width="6.7109375" customWidth="1"/>
    <col min="15249" max="15249" width="32.28515625" customWidth="1"/>
    <col min="15250" max="15250" width="10.85546875" customWidth="1"/>
    <col min="15251" max="15251" width="11.7109375" customWidth="1"/>
    <col min="15252" max="15252" width="10.85546875" customWidth="1"/>
    <col min="15253" max="15253" width="10.5703125" customWidth="1"/>
    <col min="15255" max="15255" width="10.85546875" customWidth="1"/>
    <col min="15258" max="15258" width="12" customWidth="1"/>
    <col min="15502" max="15502" width="6.85546875" customWidth="1"/>
    <col min="15503" max="15503" width="29.85546875" customWidth="1"/>
    <col min="15504" max="15504" width="6.7109375" customWidth="1"/>
    <col min="15505" max="15505" width="32.28515625" customWidth="1"/>
    <col min="15506" max="15506" width="10.85546875" customWidth="1"/>
    <col min="15507" max="15507" width="11.7109375" customWidth="1"/>
    <col min="15508" max="15508" width="10.85546875" customWidth="1"/>
    <col min="15509" max="15509" width="10.5703125" customWidth="1"/>
    <col min="15511" max="15511" width="10.85546875" customWidth="1"/>
    <col min="15514" max="15514" width="12" customWidth="1"/>
    <col min="15758" max="15758" width="6.85546875" customWidth="1"/>
    <col min="15759" max="15759" width="29.85546875" customWidth="1"/>
    <col min="15760" max="15760" width="6.7109375" customWidth="1"/>
    <col min="15761" max="15761" width="32.28515625" customWidth="1"/>
    <col min="15762" max="15762" width="10.85546875" customWidth="1"/>
    <col min="15763" max="15763" width="11.7109375" customWidth="1"/>
    <col min="15764" max="15764" width="10.85546875" customWidth="1"/>
    <col min="15765" max="15765" width="10.5703125" customWidth="1"/>
    <col min="15767" max="15767" width="10.85546875" customWidth="1"/>
    <col min="15770" max="15770" width="12" customWidth="1"/>
    <col min="16014" max="16014" width="6.85546875" customWidth="1"/>
    <col min="16015" max="16015" width="29.85546875" customWidth="1"/>
    <col min="16016" max="16016" width="6.7109375" customWidth="1"/>
    <col min="16017" max="16017" width="32.28515625" customWidth="1"/>
    <col min="16018" max="16018" width="10.85546875" customWidth="1"/>
    <col min="16019" max="16019" width="11.7109375" customWidth="1"/>
    <col min="16020" max="16020" width="10.85546875" customWidth="1"/>
    <col min="16021" max="16021" width="10.5703125" customWidth="1"/>
    <col min="16023" max="16023" width="10.85546875" customWidth="1"/>
    <col min="16026" max="16026" width="12" customWidth="1"/>
  </cols>
  <sheetData>
    <row r="1" spans="1:45" ht="15" x14ac:dyDescent="0.25">
      <c r="A1" s="46" t="s">
        <v>2</v>
      </c>
      <c r="B1" s="46"/>
      <c r="C1" s="38"/>
      <c r="D1" s="46"/>
      <c r="E1" s="46"/>
      <c r="F1" s="61"/>
      <c r="G1" s="61"/>
      <c r="H1" s="61"/>
      <c r="AC1" s="48"/>
      <c r="AD1" s="48"/>
      <c r="AE1" s="48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15" x14ac:dyDescent="0.25">
      <c r="A2" s="46" t="s">
        <v>3</v>
      </c>
      <c r="B2" s="46"/>
      <c r="C2" s="38"/>
      <c r="D2" s="46"/>
      <c r="E2" s="46"/>
      <c r="F2" s="61"/>
      <c r="G2" s="61"/>
      <c r="H2" s="61"/>
    </row>
    <row r="3" spans="1:45" ht="12.75" customHeight="1" x14ac:dyDescent="0.25">
      <c r="A3" s="996" t="s">
        <v>4</v>
      </c>
      <c r="B3" s="996"/>
      <c r="C3" s="996"/>
      <c r="D3" s="996"/>
      <c r="E3" s="996"/>
      <c r="F3" s="61"/>
      <c r="G3" s="61"/>
      <c r="H3" s="61"/>
      <c r="AD3" s="380"/>
    </row>
    <row r="4" spans="1:45" ht="15" x14ac:dyDescent="0.25">
      <c r="A4" s="60"/>
      <c r="B4" s="46"/>
      <c r="C4" s="46"/>
      <c r="D4" s="46"/>
      <c r="E4" s="46"/>
      <c r="F4" s="61"/>
      <c r="G4" s="61"/>
      <c r="H4" s="61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P5" s="916"/>
      <c r="Q5" s="851" t="s">
        <v>815</v>
      </c>
      <c r="R5" s="845"/>
      <c r="S5" s="845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916"/>
      <c r="AG5" s="851" t="s">
        <v>815</v>
      </c>
      <c r="AH5" s="474"/>
      <c r="AI5" s="845"/>
      <c r="AJ5" s="50"/>
      <c r="AK5" s="50"/>
      <c r="AL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61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A7" s="60"/>
      <c r="B7" s="5"/>
      <c r="D7" s="9"/>
      <c r="E7" s="5"/>
      <c r="F7" s="61"/>
      <c r="G7" s="61"/>
      <c r="H7" s="61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87"/>
      <c r="B8" s="62"/>
      <c r="C8" s="62"/>
      <c r="D8" s="62"/>
      <c r="E8" s="62"/>
      <c r="F8" s="62"/>
      <c r="G8" s="62"/>
      <c r="H8" s="62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19.5" customHeight="1" thickBot="1" x14ac:dyDescent="0.25">
      <c r="A9" s="10" t="s">
        <v>748</v>
      </c>
      <c r="D9" s="10"/>
      <c r="F9" s="51"/>
      <c r="G9" s="52"/>
      <c r="H9" s="52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3.25" thickBot="1" x14ac:dyDescent="0.25">
      <c r="A10" s="53" t="s">
        <v>729</v>
      </c>
      <c r="B10" s="54" t="s">
        <v>512</v>
      </c>
      <c r="C10" s="54" t="s">
        <v>513</v>
      </c>
      <c r="D10" s="54" t="s">
        <v>250</v>
      </c>
      <c r="E10" s="115" t="s">
        <v>731</v>
      </c>
      <c r="F10" s="54" t="s">
        <v>0</v>
      </c>
      <c r="G10" s="90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91" customFormat="1" ht="11.25" customHeight="1" thickBot="1" x14ac:dyDescent="0.25">
      <c r="A11" s="92" t="s">
        <v>514</v>
      </c>
      <c r="B11" s="93" t="s">
        <v>515</v>
      </c>
      <c r="C11" s="93" t="s">
        <v>252</v>
      </c>
      <c r="D11" s="93" t="s">
        <v>253</v>
      </c>
      <c r="E11" s="93" t="s">
        <v>516</v>
      </c>
      <c r="F11" s="93" t="s">
        <v>0</v>
      </c>
      <c r="G11" s="93" t="s">
        <v>517</v>
      </c>
      <c r="H11" s="94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s="152" customFormat="1" ht="14.1" customHeight="1" x14ac:dyDescent="0.2">
      <c r="A12" s="428">
        <v>1</v>
      </c>
      <c r="B12" s="429">
        <v>4476</v>
      </c>
      <c r="C12" s="429">
        <v>600075184</v>
      </c>
      <c r="D12" s="429">
        <v>70200815</v>
      </c>
      <c r="E12" s="426" t="s">
        <v>140</v>
      </c>
      <c r="F12" s="429">
        <v>3233</v>
      </c>
      <c r="G12" s="430" t="s">
        <v>283</v>
      </c>
      <c r="H12" s="559" t="s">
        <v>263</v>
      </c>
      <c r="I12" s="579">
        <v>5684818</v>
      </c>
      <c r="J12" s="521">
        <v>3949227</v>
      </c>
      <c r="K12" s="521">
        <v>270000</v>
      </c>
      <c r="L12" s="745">
        <v>1426099</v>
      </c>
      <c r="M12" s="745">
        <v>39492</v>
      </c>
      <c r="N12" s="745">
        <v>0</v>
      </c>
      <c r="O12" s="681">
        <v>6.58</v>
      </c>
      <c r="P12" s="572">
        <f>W12*-1</f>
        <v>-180000</v>
      </c>
      <c r="Q12" s="573">
        <v>0</v>
      </c>
      <c r="R12" s="573">
        <v>0</v>
      </c>
      <c r="S12" s="573">
        <v>0</v>
      </c>
      <c r="T12" s="573">
        <v>0</v>
      </c>
      <c r="U12" s="573">
        <v>0</v>
      </c>
      <c r="V12" s="573">
        <f>P12+Q12+R12+S12+T12+U12</f>
        <v>-180000</v>
      </c>
      <c r="W12" s="573">
        <v>180000</v>
      </c>
      <c r="X12" s="573">
        <v>0</v>
      </c>
      <c r="Y12" s="573">
        <v>0</v>
      </c>
      <c r="Z12" s="573">
        <f>W12+X12+Y12</f>
        <v>180000</v>
      </c>
      <c r="AA12" s="573">
        <f>V12+Z12</f>
        <v>0</v>
      </c>
      <c r="AB12" s="575">
        <f>ROUND((V12+Z12)*33.8%,0)</f>
        <v>0</v>
      </c>
      <c r="AC12" s="575">
        <f>ROUND(V12*1%,0)</f>
        <v>-1800</v>
      </c>
      <c r="AD12" s="573">
        <v>0</v>
      </c>
      <c r="AE12" s="605">
        <f>AA12+AB12+AC12+AD12</f>
        <v>-1800</v>
      </c>
      <c r="AF12" s="607">
        <v>-0.31</v>
      </c>
      <c r="AG12" s="522">
        <v>0</v>
      </c>
      <c r="AH12" s="522">
        <v>0</v>
      </c>
      <c r="AI12" s="522">
        <v>0</v>
      </c>
      <c r="AJ12" s="522">
        <v>0</v>
      </c>
      <c r="AK12" s="522">
        <v>0</v>
      </c>
      <c r="AL12" s="608">
        <f>SUM(AF12:AK12)</f>
        <v>-0.31</v>
      </c>
      <c r="AM12" s="572">
        <f>I12+AE12</f>
        <v>5683018</v>
      </c>
      <c r="AN12" s="573">
        <f>J12+V12</f>
        <v>3769227</v>
      </c>
      <c r="AO12" s="573">
        <f>K12+Z12</f>
        <v>450000</v>
      </c>
      <c r="AP12" s="573">
        <f>L12+AB12</f>
        <v>1426099</v>
      </c>
      <c r="AQ12" s="573">
        <f>M12+AC12</f>
        <v>37692</v>
      </c>
      <c r="AR12" s="573">
        <v>0</v>
      </c>
      <c r="AS12" s="576">
        <f>O12+AL12</f>
        <v>6.2700000000000005</v>
      </c>
    </row>
    <row r="13" spans="1:45" s="152" customFormat="1" x14ac:dyDescent="0.2">
      <c r="A13" s="107">
        <v>1</v>
      </c>
      <c r="B13" s="15">
        <v>4476</v>
      </c>
      <c r="C13" s="15">
        <v>600075184</v>
      </c>
      <c r="D13" s="15">
        <v>70200815</v>
      </c>
      <c r="E13" s="116" t="s">
        <v>141</v>
      </c>
      <c r="F13" s="15"/>
      <c r="G13" s="106"/>
      <c r="H13" s="555"/>
      <c r="I13" s="758">
        <v>5684818</v>
      </c>
      <c r="J13" s="343">
        <v>3949227</v>
      </c>
      <c r="K13" s="343">
        <v>270000</v>
      </c>
      <c r="L13" s="343">
        <v>1426099</v>
      </c>
      <c r="M13" s="343">
        <v>39492</v>
      </c>
      <c r="N13" s="343">
        <v>0</v>
      </c>
      <c r="O13" s="35">
        <v>6.58</v>
      </c>
      <c r="P13" s="346">
        <f t="shared" ref="P13:AS13" si="0">SUM(P12)</f>
        <v>-180000</v>
      </c>
      <c r="Q13" s="343">
        <f t="shared" si="0"/>
        <v>0</v>
      </c>
      <c r="R13" s="343">
        <f t="shared" si="0"/>
        <v>0</v>
      </c>
      <c r="S13" s="343">
        <f t="shared" si="0"/>
        <v>0</v>
      </c>
      <c r="T13" s="343">
        <f t="shared" si="0"/>
        <v>0</v>
      </c>
      <c r="U13" s="343">
        <f t="shared" si="0"/>
        <v>0</v>
      </c>
      <c r="V13" s="343">
        <f t="shared" si="0"/>
        <v>-180000</v>
      </c>
      <c r="W13" s="343">
        <f t="shared" si="0"/>
        <v>180000</v>
      </c>
      <c r="X13" s="343">
        <f t="shared" si="0"/>
        <v>0</v>
      </c>
      <c r="Y13" s="343">
        <f t="shared" si="0"/>
        <v>0</v>
      </c>
      <c r="Z13" s="343">
        <f t="shared" si="0"/>
        <v>180000</v>
      </c>
      <c r="AA13" s="343">
        <f t="shared" si="0"/>
        <v>0</v>
      </c>
      <c r="AB13" s="343">
        <f t="shared" si="0"/>
        <v>0</v>
      </c>
      <c r="AC13" s="343">
        <f t="shared" si="0"/>
        <v>-1800</v>
      </c>
      <c r="AD13" s="343">
        <f t="shared" si="0"/>
        <v>0</v>
      </c>
      <c r="AE13" s="763">
        <f t="shared" si="0"/>
        <v>-1800</v>
      </c>
      <c r="AF13" s="767">
        <f t="shared" si="0"/>
        <v>-0.31</v>
      </c>
      <c r="AG13" s="344">
        <f t="shared" si="0"/>
        <v>0</v>
      </c>
      <c r="AH13" s="344">
        <f t="shared" si="0"/>
        <v>0</v>
      </c>
      <c r="AI13" s="344">
        <f t="shared" si="0"/>
        <v>0</v>
      </c>
      <c r="AJ13" s="344">
        <f t="shared" si="0"/>
        <v>0</v>
      </c>
      <c r="AK13" s="344">
        <f t="shared" si="0"/>
        <v>0</v>
      </c>
      <c r="AL13" s="35">
        <f t="shared" si="0"/>
        <v>-0.31</v>
      </c>
      <c r="AM13" s="346">
        <f t="shared" si="0"/>
        <v>5683018</v>
      </c>
      <c r="AN13" s="343">
        <f t="shared" si="0"/>
        <v>3769227</v>
      </c>
      <c r="AO13" s="343">
        <f t="shared" si="0"/>
        <v>450000</v>
      </c>
      <c r="AP13" s="343">
        <f t="shared" si="0"/>
        <v>1426099</v>
      </c>
      <c r="AQ13" s="343">
        <f t="shared" si="0"/>
        <v>37692</v>
      </c>
      <c r="AR13" s="343">
        <f t="shared" si="0"/>
        <v>0</v>
      </c>
      <c r="AS13" s="344">
        <f t="shared" si="0"/>
        <v>6.2700000000000005</v>
      </c>
    </row>
    <row r="14" spans="1:45" s="152" customFormat="1" x14ac:dyDescent="0.2">
      <c r="A14" s="140">
        <v>2</v>
      </c>
      <c r="B14" s="141">
        <v>4411</v>
      </c>
      <c r="C14" s="141">
        <v>600074340</v>
      </c>
      <c r="D14" s="141">
        <v>70982121</v>
      </c>
      <c r="E14" s="139" t="s">
        <v>142</v>
      </c>
      <c r="F14" s="141">
        <v>3111</v>
      </c>
      <c r="G14" s="117" t="s">
        <v>277</v>
      </c>
      <c r="H14" s="560" t="s">
        <v>262</v>
      </c>
      <c r="I14" s="580">
        <v>8319882</v>
      </c>
      <c r="J14" s="490">
        <v>6100553</v>
      </c>
      <c r="K14" s="490">
        <v>72000</v>
      </c>
      <c r="L14" s="55">
        <v>2086323</v>
      </c>
      <c r="M14" s="55">
        <v>61006</v>
      </c>
      <c r="N14" s="55">
        <v>0</v>
      </c>
      <c r="O14" s="614">
        <v>10</v>
      </c>
      <c r="P14" s="445">
        <f>W14*-1</f>
        <v>-48000</v>
      </c>
      <c r="Q14" s="325">
        <v>0</v>
      </c>
      <c r="R14" s="325">
        <v>0</v>
      </c>
      <c r="S14" s="325">
        <v>0</v>
      </c>
      <c r="T14" s="325">
        <v>0</v>
      </c>
      <c r="U14" s="325">
        <v>0</v>
      </c>
      <c r="V14" s="492">
        <f t="shared" ref="V14:V15" si="1">P14+Q14+R14+S14+T14+U14</f>
        <v>-48000</v>
      </c>
      <c r="W14" s="325">
        <v>48000</v>
      </c>
      <c r="X14" s="325">
        <v>0</v>
      </c>
      <c r="Y14" s="325">
        <v>0</v>
      </c>
      <c r="Z14" s="492">
        <f t="shared" ref="Z14:Z15" si="2">W14+X14+Y14</f>
        <v>48000</v>
      </c>
      <c r="AA14" s="492">
        <f t="shared" ref="AA14:AA15" si="3">V14+Z14</f>
        <v>0</v>
      </c>
      <c r="AB14" s="494">
        <f t="shared" ref="AB14:AB15" si="4">ROUND((V14+Z14)*33.8%,0)</f>
        <v>0</v>
      </c>
      <c r="AC14" s="494">
        <f t="shared" ref="AC14:AC15" si="5">ROUND(V14*1%,0)</f>
        <v>-480</v>
      </c>
      <c r="AD14" s="492">
        <v>0</v>
      </c>
      <c r="AE14" s="753">
        <f t="shared" ref="AE14:AE15" si="6">AA14+AB14+AC14+AD14</f>
        <v>-480</v>
      </c>
      <c r="AF14" s="688">
        <v>0</v>
      </c>
      <c r="AG14" s="326">
        <v>0</v>
      </c>
      <c r="AH14" s="326">
        <v>0</v>
      </c>
      <c r="AI14" s="326">
        <v>0</v>
      </c>
      <c r="AJ14" s="326">
        <v>0</v>
      </c>
      <c r="AK14" s="326">
        <v>0</v>
      </c>
      <c r="AL14" s="609">
        <f t="shared" ref="AL14:AL15" si="7">SUM(AF14:AK14)</f>
        <v>0</v>
      </c>
      <c r="AM14" s="493">
        <f>I14+AE14</f>
        <v>8319402</v>
      </c>
      <c r="AN14" s="492">
        <f>J14+V14</f>
        <v>6052553</v>
      </c>
      <c r="AO14" s="573">
        <f>K14+Z14</f>
        <v>120000</v>
      </c>
      <c r="AP14" s="492">
        <f>L14+AB14</f>
        <v>2086323</v>
      </c>
      <c r="AQ14" s="492">
        <f>M14+AC14</f>
        <v>60526</v>
      </c>
      <c r="AR14" s="492">
        <v>0</v>
      </c>
      <c r="AS14" s="491">
        <f t="shared" ref="AS14:AS15" si="8">O14+AL14</f>
        <v>10</v>
      </c>
    </row>
    <row r="15" spans="1:45" s="152" customFormat="1" x14ac:dyDescent="0.2">
      <c r="A15" s="140">
        <v>2</v>
      </c>
      <c r="B15" s="141">
        <v>4411</v>
      </c>
      <c r="C15" s="141">
        <v>600074340</v>
      </c>
      <c r="D15" s="141">
        <v>70982121</v>
      </c>
      <c r="E15" s="139" t="s">
        <v>142</v>
      </c>
      <c r="F15" s="141">
        <v>3111</v>
      </c>
      <c r="G15" s="117" t="s">
        <v>278</v>
      </c>
      <c r="H15" s="560" t="s">
        <v>263</v>
      </c>
      <c r="I15" s="580">
        <v>1604849</v>
      </c>
      <c r="J15" s="490">
        <v>1190541</v>
      </c>
      <c r="K15" s="490">
        <v>0</v>
      </c>
      <c r="L15" s="55">
        <v>402403</v>
      </c>
      <c r="M15" s="55">
        <v>11905</v>
      </c>
      <c r="N15" s="55">
        <v>0</v>
      </c>
      <c r="O15" s="614">
        <v>3</v>
      </c>
      <c r="P15" s="440">
        <f>W15*-1</f>
        <v>0</v>
      </c>
      <c r="Q15" s="325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 t="shared" si="1"/>
        <v>0</v>
      </c>
      <c r="W15" s="325">
        <v>0</v>
      </c>
      <c r="X15" s="325">
        <v>0</v>
      </c>
      <c r="Y15" s="325">
        <v>0</v>
      </c>
      <c r="Z15" s="492">
        <f t="shared" si="2"/>
        <v>0</v>
      </c>
      <c r="AA15" s="492">
        <f t="shared" si="3"/>
        <v>0</v>
      </c>
      <c r="AB15" s="494">
        <f t="shared" si="4"/>
        <v>0</v>
      </c>
      <c r="AC15" s="494">
        <f t="shared" si="5"/>
        <v>0</v>
      </c>
      <c r="AD15" s="492">
        <v>0</v>
      </c>
      <c r="AE15" s="753">
        <f t="shared" si="6"/>
        <v>0</v>
      </c>
      <c r="AF15" s="688">
        <v>0</v>
      </c>
      <c r="AG15" s="326">
        <v>0</v>
      </c>
      <c r="AH15" s="326">
        <v>0</v>
      </c>
      <c r="AI15" s="326">
        <v>0</v>
      </c>
      <c r="AJ15" s="326">
        <v>0</v>
      </c>
      <c r="AK15" s="326">
        <v>0</v>
      </c>
      <c r="AL15" s="609">
        <f t="shared" si="7"/>
        <v>0</v>
      </c>
      <c r="AM15" s="493">
        <f>I15+AE15</f>
        <v>1604849</v>
      </c>
      <c r="AN15" s="492">
        <f>J15+V15</f>
        <v>1190541</v>
      </c>
      <c r="AO15" s="573">
        <f>K15+Z15</f>
        <v>0</v>
      </c>
      <c r="AP15" s="492">
        <f>L15+AB15</f>
        <v>402403</v>
      </c>
      <c r="AQ15" s="492">
        <f>M15+AC15</f>
        <v>11905</v>
      </c>
      <c r="AR15" s="492">
        <v>0</v>
      </c>
      <c r="AS15" s="491">
        <f t="shared" si="8"/>
        <v>3</v>
      </c>
    </row>
    <row r="16" spans="1:45" s="152" customFormat="1" x14ac:dyDescent="0.2">
      <c r="A16" s="107">
        <v>2</v>
      </c>
      <c r="B16" s="15">
        <v>4411</v>
      </c>
      <c r="C16" s="15">
        <v>600074340</v>
      </c>
      <c r="D16" s="15">
        <v>70982121</v>
      </c>
      <c r="E16" s="116" t="s">
        <v>143</v>
      </c>
      <c r="F16" s="15"/>
      <c r="G16" s="106"/>
      <c r="H16" s="555"/>
      <c r="I16" s="758">
        <v>9924731</v>
      </c>
      <c r="J16" s="343">
        <v>7291094</v>
      </c>
      <c r="K16" s="343">
        <v>72000</v>
      </c>
      <c r="L16" s="343">
        <v>2488726</v>
      </c>
      <c r="M16" s="343">
        <v>72911</v>
      </c>
      <c r="N16" s="343">
        <v>0</v>
      </c>
      <c r="O16" s="35">
        <v>13</v>
      </c>
      <c r="P16" s="346">
        <f t="shared" ref="P16:AS16" si="9">SUM(P14:P15)</f>
        <v>-48000</v>
      </c>
      <c r="Q16" s="343">
        <f t="shared" si="9"/>
        <v>0</v>
      </c>
      <c r="R16" s="343">
        <f t="shared" si="9"/>
        <v>0</v>
      </c>
      <c r="S16" s="343">
        <f t="shared" si="9"/>
        <v>0</v>
      </c>
      <c r="T16" s="343">
        <f t="shared" si="9"/>
        <v>0</v>
      </c>
      <c r="U16" s="343">
        <f t="shared" si="9"/>
        <v>0</v>
      </c>
      <c r="V16" s="343">
        <f t="shared" si="9"/>
        <v>-48000</v>
      </c>
      <c r="W16" s="343">
        <f t="shared" si="9"/>
        <v>48000</v>
      </c>
      <c r="X16" s="343">
        <f t="shared" si="9"/>
        <v>0</v>
      </c>
      <c r="Y16" s="343">
        <f t="shared" si="9"/>
        <v>0</v>
      </c>
      <c r="Z16" s="343">
        <f t="shared" si="9"/>
        <v>48000</v>
      </c>
      <c r="AA16" s="343">
        <f t="shared" si="9"/>
        <v>0</v>
      </c>
      <c r="AB16" s="343">
        <f t="shared" si="9"/>
        <v>0</v>
      </c>
      <c r="AC16" s="343">
        <f t="shared" si="9"/>
        <v>-480</v>
      </c>
      <c r="AD16" s="343">
        <f t="shared" si="9"/>
        <v>0</v>
      </c>
      <c r="AE16" s="763">
        <f t="shared" si="9"/>
        <v>-480</v>
      </c>
      <c r="AF16" s="767">
        <f t="shared" si="9"/>
        <v>0</v>
      </c>
      <c r="AG16" s="344">
        <f t="shared" si="9"/>
        <v>0</v>
      </c>
      <c r="AH16" s="344">
        <f t="shared" si="9"/>
        <v>0</v>
      </c>
      <c r="AI16" s="344">
        <f t="shared" si="9"/>
        <v>0</v>
      </c>
      <c r="AJ16" s="344">
        <f t="shared" si="9"/>
        <v>0</v>
      </c>
      <c r="AK16" s="344">
        <f t="shared" si="9"/>
        <v>0</v>
      </c>
      <c r="AL16" s="35">
        <f t="shared" si="9"/>
        <v>0</v>
      </c>
      <c r="AM16" s="346">
        <f t="shared" si="9"/>
        <v>9924251</v>
      </c>
      <c r="AN16" s="343">
        <f t="shared" si="9"/>
        <v>7243094</v>
      </c>
      <c r="AO16" s="343">
        <f t="shared" si="9"/>
        <v>120000</v>
      </c>
      <c r="AP16" s="343">
        <f t="shared" si="9"/>
        <v>2488726</v>
      </c>
      <c r="AQ16" s="343">
        <f t="shared" si="9"/>
        <v>72431</v>
      </c>
      <c r="AR16" s="343">
        <f t="shared" si="9"/>
        <v>0</v>
      </c>
      <c r="AS16" s="344">
        <f t="shared" si="9"/>
        <v>13</v>
      </c>
    </row>
    <row r="17" spans="1:45" s="152" customFormat="1" x14ac:dyDescent="0.2">
      <c r="A17" s="140">
        <v>3</v>
      </c>
      <c r="B17" s="141">
        <v>4409</v>
      </c>
      <c r="C17" s="141">
        <v>600074358</v>
      </c>
      <c r="D17" s="141">
        <v>70982104</v>
      </c>
      <c r="E17" s="135" t="s">
        <v>144</v>
      </c>
      <c r="F17" s="141">
        <v>3111</v>
      </c>
      <c r="G17" s="117" t="s">
        <v>277</v>
      </c>
      <c r="H17" s="560" t="s">
        <v>262</v>
      </c>
      <c r="I17" s="580">
        <v>17004418</v>
      </c>
      <c r="J17" s="490">
        <v>12602643</v>
      </c>
      <c r="K17" s="490">
        <v>12000</v>
      </c>
      <c r="L17" s="55">
        <v>4263749</v>
      </c>
      <c r="M17" s="55">
        <v>126026</v>
      </c>
      <c r="N17" s="55">
        <v>0</v>
      </c>
      <c r="O17" s="614">
        <v>20.98</v>
      </c>
      <c r="P17" s="445">
        <f>W17*-1</f>
        <v>-8000</v>
      </c>
      <c r="Q17" s="325">
        <v>0</v>
      </c>
      <c r="R17" s="325">
        <v>0</v>
      </c>
      <c r="S17" s="325">
        <v>0</v>
      </c>
      <c r="T17" s="325">
        <v>0</v>
      </c>
      <c r="U17" s="325">
        <v>0</v>
      </c>
      <c r="V17" s="492">
        <f t="shared" ref="V17:V19" si="10">P17+Q17+R17+S17+T17+U17</f>
        <v>-8000</v>
      </c>
      <c r="W17" s="325">
        <v>8000</v>
      </c>
      <c r="X17" s="325">
        <v>0</v>
      </c>
      <c r="Y17" s="325">
        <v>0</v>
      </c>
      <c r="Z17" s="492">
        <f t="shared" ref="Z17:Z19" si="11">W17+X17+Y17</f>
        <v>8000</v>
      </c>
      <c r="AA17" s="492">
        <f t="shared" ref="AA17:AA19" si="12">V17+Z17</f>
        <v>0</v>
      </c>
      <c r="AB17" s="494">
        <f t="shared" ref="AB17:AB19" si="13">ROUND((V17+Z17)*33.8%,0)</f>
        <v>0</v>
      </c>
      <c r="AC17" s="494">
        <f t="shared" ref="AC17:AC19" si="14">ROUND(V17*1%,0)</f>
        <v>-80</v>
      </c>
      <c r="AD17" s="492">
        <v>0</v>
      </c>
      <c r="AE17" s="753">
        <f t="shared" ref="AE17:AE19" si="15">AA17+AB17+AC17+AD17</f>
        <v>-80</v>
      </c>
      <c r="AF17" s="688">
        <v>-0.02</v>
      </c>
      <c r="AG17" s="326">
        <v>0</v>
      </c>
      <c r="AH17" s="326">
        <v>0</v>
      </c>
      <c r="AI17" s="326">
        <v>0</v>
      </c>
      <c r="AJ17" s="326">
        <v>0</v>
      </c>
      <c r="AK17" s="326">
        <v>0</v>
      </c>
      <c r="AL17" s="609">
        <f t="shared" ref="AL17:AL19" si="16">SUM(AF17:AK17)</f>
        <v>-0.02</v>
      </c>
      <c r="AM17" s="493">
        <f>I17+AE17</f>
        <v>17004338</v>
      </c>
      <c r="AN17" s="492">
        <f>J17+V17</f>
        <v>12594643</v>
      </c>
      <c r="AO17" s="573">
        <f t="shared" ref="AO17:AO19" si="17">K17+Z17</f>
        <v>20000</v>
      </c>
      <c r="AP17" s="492">
        <f t="shared" ref="AP17:AQ19" si="18">L17+AB17</f>
        <v>4263749</v>
      </c>
      <c r="AQ17" s="492">
        <f t="shared" si="18"/>
        <v>125946</v>
      </c>
      <c r="AR17" s="492">
        <v>0</v>
      </c>
      <c r="AS17" s="491">
        <f t="shared" ref="AS17:AS19" si="19">O17+AL17</f>
        <v>20.96</v>
      </c>
    </row>
    <row r="18" spans="1:45" s="152" customFormat="1" x14ac:dyDescent="0.2">
      <c r="A18" s="140">
        <v>3</v>
      </c>
      <c r="B18" s="141">
        <v>4409</v>
      </c>
      <c r="C18" s="141">
        <v>600074358</v>
      </c>
      <c r="D18" s="141">
        <v>70982104</v>
      </c>
      <c r="E18" s="135" t="s">
        <v>144</v>
      </c>
      <c r="F18" s="141">
        <v>3111</v>
      </c>
      <c r="G18" s="117" t="s">
        <v>279</v>
      </c>
      <c r="H18" s="560" t="s">
        <v>262</v>
      </c>
      <c r="I18" s="580">
        <v>0</v>
      </c>
      <c r="J18" s="490">
        <v>0</v>
      </c>
      <c r="K18" s="490">
        <v>0</v>
      </c>
      <c r="L18" s="55">
        <v>0</v>
      </c>
      <c r="M18" s="55">
        <v>0</v>
      </c>
      <c r="N18" s="55">
        <v>0</v>
      </c>
      <c r="O18" s="614">
        <v>0</v>
      </c>
      <c r="P18" s="440">
        <f>W18*-1</f>
        <v>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 t="shared" si="10"/>
        <v>0</v>
      </c>
      <c r="W18" s="325">
        <v>0</v>
      </c>
      <c r="X18" s="325">
        <v>0</v>
      </c>
      <c r="Y18" s="325">
        <v>0</v>
      </c>
      <c r="Z18" s="492">
        <f t="shared" si="11"/>
        <v>0</v>
      </c>
      <c r="AA18" s="492">
        <f t="shared" si="12"/>
        <v>0</v>
      </c>
      <c r="AB18" s="494">
        <f t="shared" si="13"/>
        <v>0</v>
      </c>
      <c r="AC18" s="494">
        <f t="shared" si="14"/>
        <v>0</v>
      </c>
      <c r="AD18" s="492">
        <v>0</v>
      </c>
      <c r="AE18" s="753">
        <f t="shared" si="15"/>
        <v>0</v>
      </c>
      <c r="AF18" s="688">
        <v>0</v>
      </c>
      <c r="AG18" s="326">
        <v>0</v>
      </c>
      <c r="AH18" s="326">
        <v>0</v>
      </c>
      <c r="AI18" s="326">
        <v>0</v>
      </c>
      <c r="AJ18" s="326">
        <v>0</v>
      </c>
      <c r="AK18" s="326">
        <v>0</v>
      </c>
      <c r="AL18" s="609">
        <f t="shared" si="16"/>
        <v>0</v>
      </c>
      <c r="AM18" s="493">
        <f>I18+AE18</f>
        <v>0</v>
      </c>
      <c r="AN18" s="492">
        <f>J18+V18</f>
        <v>0</v>
      </c>
      <c r="AO18" s="573">
        <f t="shared" si="17"/>
        <v>0</v>
      </c>
      <c r="AP18" s="492">
        <f t="shared" si="18"/>
        <v>0</v>
      </c>
      <c r="AQ18" s="492">
        <f t="shared" si="18"/>
        <v>0</v>
      </c>
      <c r="AR18" s="492">
        <v>0</v>
      </c>
      <c r="AS18" s="491">
        <f t="shared" si="19"/>
        <v>0</v>
      </c>
    </row>
    <row r="19" spans="1:45" s="152" customFormat="1" x14ac:dyDescent="0.2">
      <c r="A19" s="140">
        <v>3</v>
      </c>
      <c r="B19" s="141">
        <v>4409</v>
      </c>
      <c r="C19" s="141">
        <v>600074358</v>
      </c>
      <c r="D19" s="141">
        <v>70982104</v>
      </c>
      <c r="E19" s="135" t="s">
        <v>144</v>
      </c>
      <c r="F19" s="141">
        <v>3111</v>
      </c>
      <c r="G19" s="117" t="s">
        <v>278</v>
      </c>
      <c r="H19" s="560" t="s">
        <v>263</v>
      </c>
      <c r="I19" s="580">
        <v>2184326</v>
      </c>
      <c r="J19" s="490">
        <v>1620420</v>
      </c>
      <c r="K19" s="490">
        <v>0</v>
      </c>
      <c r="L19" s="55">
        <v>547702</v>
      </c>
      <c r="M19" s="55">
        <v>16204</v>
      </c>
      <c r="N19" s="55">
        <v>0</v>
      </c>
      <c r="O19" s="614">
        <v>4.0999999999999996</v>
      </c>
      <c r="P19" s="440">
        <f>W19*-1</f>
        <v>0</v>
      </c>
      <c r="Q19" s="325">
        <v>0</v>
      </c>
      <c r="R19" s="325">
        <v>0</v>
      </c>
      <c r="S19" s="325">
        <v>0</v>
      </c>
      <c r="T19" s="325">
        <v>0</v>
      </c>
      <c r="U19" s="325">
        <v>0</v>
      </c>
      <c r="V19" s="492">
        <f t="shared" si="10"/>
        <v>0</v>
      </c>
      <c r="W19" s="325">
        <v>0</v>
      </c>
      <c r="X19" s="325">
        <v>0</v>
      </c>
      <c r="Y19" s="325">
        <v>0</v>
      </c>
      <c r="Z19" s="492">
        <f t="shared" si="11"/>
        <v>0</v>
      </c>
      <c r="AA19" s="492">
        <f t="shared" si="12"/>
        <v>0</v>
      </c>
      <c r="AB19" s="494">
        <f t="shared" si="13"/>
        <v>0</v>
      </c>
      <c r="AC19" s="494">
        <f t="shared" si="14"/>
        <v>0</v>
      </c>
      <c r="AD19" s="492">
        <v>0</v>
      </c>
      <c r="AE19" s="753">
        <f t="shared" si="15"/>
        <v>0</v>
      </c>
      <c r="AF19" s="688">
        <v>0</v>
      </c>
      <c r="AG19" s="326">
        <v>0</v>
      </c>
      <c r="AH19" s="326">
        <v>0</v>
      </c>
      <c r="AI19" s="326">
        <v>0</v>
      </c>
      <c r="AJ19" s="326">
        <v>0</v>
      </c>
      <c r="AK19" s="326">
        <v>0</v>
      </c>
      <c r="AL19" s="609">
        <f t="shared" si="16"/>
        <v>0</v>
      </c>
      <c r="AM19" s="493">
        <f>I19+AE19</f>
        <v>2184326</v>
      </c>
      <c r="AN19" s="492">
        <f>J19+V19</f>
        <v>1620420</v>
      </c>
      <c r="AO19" s="573">
        <f t="shared" si="17"/>
        <v>0</v>
      </c>
      <c r="AP19" s="492">
        <f t="shared" si="18"/>
        <v>547702</v>
      </c>
      <c r="AQ19" s="492">
        <f t="shared" si="18"/>
        <v>16204</v>
      </c>
      <c r="AR19" s="492">
        <v>0</v>
      </c>
      <c r="AS19" s="491">
        <f t="shared" si="19"/>
        <v>4.0999999999999996</v>
      </c>
    </row>
    <row r="20" spans="1:45" s="152" customFormat="1" x14ac:dyDescent="0.2">
      <c r="A20" s="107">
        <v>3</v>
      </c>
      <c r="B20" s="15">
        <v>4409</v>
      </c>
      <c r="C20" s="15">
        <v>600074358</v>
      </c>
      <c r="D20" s="15">
        <v>70982104</v>
      </c>
      <c r="E20" s="116" t="s">
        <v>145</v>
      </c>
      <c r="F20" s="15"/>
      <c r="G20" s="106"/>
      <c r="H20" s="555"/>
      <c r="I20" s="758">
        <v>19188744</v>
      </c>
      <c r="J20" s="343">
        <v>14223063</v>
      </c>
      <c r="K20" s="343">
        <v>12000</v>
      </c>
      <c r="L20" s="343">
        <v>4811451</v>
      </c>
      <c r="M20" s="343">
        <v>142230</v>
      </c>
      <c r="N20" s="343">
        <v>0</v>
      </c>
      <c r="O20" s="35">
        <v>25.08</v>
      </c>
      <c r="P20" s="346">
        <f t="shared" ref="P20:AS20" si="20">SUM(P17:P19)</f>
        <v>-8000</v>
      </c>
      <c r="Q20" s="343">
        <f t="shared" si="20"/>
        <v>0</v>
      </c>
      <c r="R20" s="343">
        <f t="shared" si="20"/>
        <v>0</v>
      </c>
      <c r="S20" s="343">
        <f t="shared" si="20"/>
        <v>0</v>
      </c>
      <c r="T20" s="343">
        <f t="shared" si="20"/>
        <v>0</v>
      </c>
      <c r="U20" s="343">
        <f t="shared" si="20"/>
        <v>0</v>
      </c>
      <c r="V20" s="343">
        <f t="shared" si="20"/>
        <v>-8000</v>
      </c>
      <c r="W20" s="343">
        <f t="shared" si="20"/>
        <v>8000</v>
      </c>
      <c r="X20" s="343">
        <f t="shared" si="20"/>
        <v>0</v>
      </c>
      <c r="Y20" s="343">
        <f t="shared" si="20"/>
        <v>0</v>
      </c>
      <c r="Z20" s="343">
        <f t="shared" si="20"/>
        <v>8000</v>
      </c>
      <c r="AA20" s="343">
        <f t="shared" si="20"/>
        <v>0</v>
      </c>
      <c r="AB20" s="343">
        <f t="shared" si="20"/>
        <v>0</v>
      </c>
      <c r="AC20" s="343">
        <f t="shared" si="20"/>
        <v>-80</v>
      </c>
      <c r="AD20" s="343">
        <f t="shared" si="20"/>
        <v>0</v>
      </c>
      <c r="AE20" s="763">
        <f t="shared" si="20"/>
        <v>-80</v>
      </c>
      <c r="AF20" s="767">
        <f t="shared" si="20"/>
        <v>-0.02</v>
      </c>
      <c r="AG20" s="344">
        <f t="shared" si="20"/>
        <v>0</v>
      </c>
      <c r="AH20" s="344">
        <f t="shared" si="20"/>
        <v>0</v>
      </c>
      <c r="AI20" s="344">
        <f t="shared" si="20"/>
        <v>0</v>
      </c>
      <c r="AJ20" s="344">
        <f t="shared" si="20"/>
        <v>0</v>
      </c>
      <c r="AK20" s="344">
        <f t="shared" si="20"/>
        <v>0</v>
      </c>
      <c r="AL20" s="35">
        <f t="shared" si="20"/>
        <v>-0.02</v>
      </c>
      <c r="AM20" s="346">
        <f t="shared" si="20"/>
        <v>19188664</v>
      </c>
      <c r="AN20" s="343">
        <f t="shared" si="20"/>
        <v>14215063</v>
      </c>
      <c r="AO20" s="343">
        <f t="shared" si="20"/>
        <v>20000</v>
      </c>
      <c r="AP20" s="343">
        <f t="shared" si="20"/>
        <v>4811451</v>
      </c>
      <c r="AQ20" s="343">
        <f t="shared" si="20"/>
        <v>142150</v>
      </c>
      <c r="AR20" s="343">
        <f t="shared" si="20"/>
        <v>0</v>
      </c>
      <c r="AS20" s="344">
        <f t="shared" si="20"/>
        <v>25.060000000000002</v>
      </c>
    </row>
    <row r="21" spans="1:45" s="152" customFormat="1" x14ac:dyDescent="0.2">
      <c r="A21" s="140">
        <v>4</v>
      </c>
      <c r="B21" s="141">
        <v>4407</v>
      </c>
      <c r="C21" s="141">
        <v>600074552</v>
      </c>
      <c r="D21" s="141">
        <v>70982201</v>
      </c>
      <c r="E21" s="139" t="s">
        <v>146</v>
      </c>
      <c r="F21" s="141">
        <v>3111</v>
      </c>
      <c r="G21" s="117" t="s">
        <v>277</v>
      </c>
      <c r="H21" s="560" t="s">
        <v>262</v>
      </c>
      <c r="I21" s="580">
        <v>7453036</v>
      </c>
      <c r="J21" s="490">
        <v>5528959</v>
      </c>
      <c r="K21" s="490">
        <v>0</v>
      </c>
      <c r="L21" s="55">
        <v>1868788</v>
      </c>
      <c r="M21" s="55">
        <v>55289</v>
      </c>
      <c r="N21" s="55">
        <v>0</v>
      </c>
      <c r="O21" s="614">
        <v>8.42</v>
      </c>
      <c r="P21" s="445">
        <f>W21*-1</f>
        <v>0</v>
      </c>
      <c r="Q21" s="325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 t="shared" ref="V21:V23" si="21">P21+Q21+R21+S21+T21+U21</f>
        <v>0</v>
      </c>
      <c r="W21" s="325">
        <v>0</v>
      </c>
      <c r="X21" s="325">
        <v>0</v>
      </c>
      <c r="Y21" s="325">
        <v>0</v>
      </c>
      <c r="Z21" s="492">
        <f t="shared" ref="Z21:Z23" si="22">W21+X21+Y21</f>
        <v>0</v>
      </c>
      <c r="AA21" s="492">
        <f t="shared" ref="AA21:AA23" si="23">V21+Z21</f>
        <v>0</v>
      </c>
      <c r="AB21" s="494">
        <f t="shared" ref="AB21:AB23" si="24">ROUND((V21+Z21)*33.8%,0)</f>
        <v>0</v>
      </c>
      <c r="AC21" s="494">
        <f t="shared" ref="AC21:AC23" si="25">ROUND(V21*1%,0)</f>
        <v>0</v>
      </c>
      <c r="AD21" s="492">
        <v>0</v>
      </c>
      <c r="AE21" s="753">
        <f t="shared" ref="AE21:AE23" si="26">AA21+AB21+AC21+AD21</f>
        <v>0</v>
      </c>
      <c r="AF21" s="688">
        <v>0</v>
      </c>
      <c r="AG21" s="326">
        <v>0</v>
      </c>
      <c r="AH21" s="326">
        <v>0</v>
      </c>
      <c r="AI21" s="326">
        <v>0</v>
      </c>
      <c r="AJ21" s="326">
        <v>0</v>
      </c>
      <c r="AK21" s="326">
        <v>0</v>
      </c>
      <c r="AL21" s="609">
        <f t="shared" ref="AL21:AL23" si="27">SUM(AF21:AK21)</f>
        <v>0</v>
      </c>
      <c r="AM21" s="493">
        <f>I21+AE21</f>
        <v>7453036</v>
      </c>
      <c r="AN21" s="492">
        <f>J21+V21</f>
        <v>5528959</v>
      </c>
      <c r="AO21" s="573">
        <f t="shared" ref="AO21:AO23" si="28">K21+Z21</f>
        <v>0</v>
      </c>
      <c r="AP21" s="492">
        <f t="shared" ref="AP21:AQ23" si="29">L21+AB21</f>
        <v>1868788</v>
      </c>
      <c r="AQ21" s="492">
        <f t="shared" si="29"/>
        <v>55289</v>
      </c>
      <c r="AR21" s="492">
        <v>0</v>
      </c>
      <c r="AS21" s="491">
        <f t="shared" ref="AS21:AS23" si="30">O21+AL21</f>
        <v>8.42</v>
      </c>
    </row>
    <row r="22" spans="1:45" s="152" customFormat="1" x14ac:dyDescent="0.2">
      <c r="A22" s="140">
        <v>4</v>
      </c>
      <c r="B22" s="141">
        <v>4407</v>
      </c>
      <c r="C22" s="141">
        <v>600074552</v>
      </c>
      <c r="D22" s="141">
        <v>70982201</v>
      </c>
      <c r="E22" s="139" t="s">
        <v>146</v>
      </c>
      <c r="F22" s="141">
        <v>3111</v>
      </c>
      <c r="G22" s="117" t="s">
        <v>279</v>
      </c>
      <c r="H22" s="560" t="s">
        <v>262</v>
      </c>
      <c r="I22" s="580">
        <v>641201</v>
      </c>
      <c r="J22" s="490">
        <v>475668</v>
      </c>
      <c r="K22" s="490">
        <v>0</v>
      </c>
      <c r="L22" s="55">
        <v>160776</v>
      </c>
      <c r="M22" s="55">
        <v>4757</v>
      </c>
      <c r="N22" s="55">
        <v>0</v>
      </c>
      <c r="O22" s="614">
        <v>1</v>
      </c>
      <c r="P22" s="440">
        <f>W22*-1</f>
        <v>0</v>
      </c>
      <c r="Q22" s="325">
        <v>0</v>
      </c>
      <c r="R22" s="325">
        <v>0</v>
      </c>
      <c r="S22" s="325">
        <v>0</v>
      </c>
      <c r="T22" s="325">
        <v>0</v>
      </c>
      <c r="U22" s="325">
        <v>0</v>
      </c>
      <c r="V22" s="492">
        <f t="shared" si="21"/>
        <v>0</v>
      </c>
      <c r="W22" s="325">
        <v>0</v>
      </c>
      <c r="X22" s="325">
        <v>0</v>
      </c>
      <c r="Y22" s="325">
        <v>0</v>
      </c>
      <c r="Z22" s="492">
        <f t="shared" si="22"/>
        <v>0</v>
      </c>
      <c r="AA22" s="492">
        <f t="shared" si="23"/>
        <v>0</v>
      </c>
      <c r="AB22" s="494">
        <f t="shared" si="24"/>
        <v>0</v>
      </c>
      <c r="AC22" s="494">
        <f t="shared" si="25"/>
        <v>0</v>
      </c>
      <c r="AD22" s="492">
        <v>0</v>
      </c>
      <c r="AE22" s="753">
        <f t="shared" si="26"/>
        <v>0</v>
      </c>
      <c r="AF22" s="688">
        <v>0</v>
      </c>
      <c r="AG22" s="326">
        <v>0</v>
      </c>
      <c r="AH22" s="326">
        <v>0</v>
      </c>
      <c r="AI22" s="326">
        <v>0</v>
      </c>
      <c r="AJ22" s="326">
        <v>0</v>
      </c>
      <c r="AK22" s="326">
        <v>0</v>
      </c>
      <c r="AL22" s="609">
        <f t="shared" si="27"/>
        <v>0</v>
      </c>
      <c r="AM22" s="493">
        <f>I22+AE22</f>
        <v>641201</v>
      </c>
      <c r="AN22" s="492">
        <f>J22+V22</f>
        <v>475668</v>
      </c>
      <c r="AO22" s="573">
        <f t="shared" si="28"/>
        <v>0</v>
      </c>
      <c r="AP22" s="492">
        <f t="shared" si="29"/>
        <v>160776</v>
      </c>
      <c r="AQ22" s="492">
        <f t="shared" si="29"/>
        <v>4757</v>
      </c>
      <c r="AR22" s="492">
        <v>0</v>
      </c>
      <c r="AS22" s="491">
        <f t="shared" si="30"/>
        <v>1</v>
      </c>
    </row>
    <row r="23" spans="1:45" s="152" customFormat="1" x14ac:dyDescent="0.2">
      <c r="A23" s="140">
        <v>4</v>
      </c>
      <c r="B23" s="141">
        <v>4407</v>
      </c>
      <c r="C23" s="141">
        <v>600074552</v>
      </c>
      <c r="D23" s="141">
        <v>70982201</v>
      </c>
      <c r="E23" s="139" t="s">
        <v>146</v>
      </c>
      <c r="F23" s="141">
        <v>3111</v>
      </c>
      <c r="G23" s="117" t="s">
        <v>278</v>
      </c>
      <c r="H23" s="560" t="s">
        <v>263</v>
      </c>
      <c r="I23" s="580">
        <v>809202</v>
      </c>
      <c r="J23" s="490">
        <v>600298</v>
      </c>
      <c r="K23" s="490">
        <v>0</v>
      </c>
      <c r="L23" s="55">
        <v>202901</v>
      </c>
      <c r="M23" s="55">
        <v>6003</v>
      </c>
      <c r="N23" s="55">
        <v>0</v>
      </c>
      <c r="O23" s="614">
        <v>1.69</v>
      </c>
      <c r="P23" s="440">
        <f>W23*-1</f>
        <v>0</v>
      </c>
      <c r="Q23" s="325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 t="shared" si="21"/>
        <v>0</v>
      </c>
      <c r="W23" s="325">
        <v>0</v>
      </c>
      <c r="X23" s="325">
        <v>0</v>
      </c>
      <c r="Y23" s="325">
        <v>0</v>
      </c>
      <c r="Z23" s="492">
        <f t="shared" si="22"/>
        <v>0</v>
      </c>
      <c r="AA23" s="492">
        <f t="shared" si="23"/>
        <v>0</v>
      </c>
      <c r="AB23" s="494">
        <f t="shared" si="24"/>
        <v>0</v>
      </c>
      <c r="AC23" s="494">
        <f t="shared" si="25"/>
        <v>0</v>
      </c>
      <c r="AD23" s="492">
        <v>0</v>
      </c>
      <c r="AE23" s="753">
        <f t="shared" si="26"/>
        <v>0</v>
      </c>
      <c r="AF23" s="688">
        <v>0</v>
      </c>
      <c r="AG23" s="326">
        <v>0</v>
      </c>
      <c r="AH23" s="326">
        <v>0</v>
      </c>
      <c r="AI23" s="326">
        <v>0</v>
      </c>
      <c r="AJ23" s="326">
        <v>0</v>
      </c>
      <c r="AK23" s="326">
        <v>0</v>
      </c>
      <c r="AL23" s="609">
        <f t="shared" si="27"/>
        <v>0</v>
      </c>
      <c r="AM23" s="493">
        <f>I23+AE23</f>
        <v>809202</v>
      </c>
      <c r="AN23" s="492">
        <f>J23+V23</f>
        <v>600298</v>
      </c>
      <c r="AO23" s="573">
        <f t="shared" si="28"/>
        <v>0</v>
      </c>
      <c r="AP23" s="492">
        <f t="shared" si="29"/>
        <v>202901</v>
      </c>
      <c r="AQ23" s="492">
        <f t="shared" si="29"/>
        <v>6003</v>
      </c>
      <c r="AR23" s="492">
        <v>0</v>
      </c>
      <c r="AS23" s="491">
        <f t="shared" si="30"/>
        <v>1.69</v>
      </c>
    </row>
    <row r="24" spans="1:45" s="152" customFormat="1" x14ac:dyDescent="0.2">
      <c r="A24" s="107">
        <v>4</v>
      </c>
      <c r="B24" s="15">
        <v>4407</v>
      </c>
      <c r="C24" s="15">
        <v>600074552</v>
      </c>
      <c r="D24" s="15">
        <v>70982201</v>
      </c>
      <c r="E24" s="116" t="s">
        <v>147</v>
      </c>
      <c r="F24" s="15"/>
      <c r="G24" s="106"/>
      <c r="H24" s="555"/>
      <c r="I24" s="758">
        <v>8903439</v>
      </c>
      <c r="J24" s="343">
        <v>6604925</v>
      </c>
      <c r="K24" s="343">
        <v>0</v>
      </c>
      <c r="L24" s="343">
        <v>2232465</v>
      </c>
      <c r="M24" s="343">
        <v>66049</v>
      </c>
      <c r="N24" s="343">
        <v>0</v>
      </c>
      <c r="O24" s="35">
        <v>11.11</v>
      </c>
      <c r="P24" s="346">
        <f t="shared" ref="P24:AS24" si="31">SUM(P21:P23)</f>
        <v>0</v>
      </c>
      <c r="Q24" s="343">
        <f t="shared" si="31"/>
        <v>0</v>
      </c>
      <c r="R24" s="343">
        <f t="shared" si="31"/>
        <v>0</v>
      </c>
      <c r="S24" s="343">
        <f t="shared" si="31"/>
        <v>0</v>
      </c>
      <c r="T24" s="343">
        <f t="shared" si="31"/>
        <v>0</v>
      </c>
      <c r="U24" s="343">
        <f t="shared" si="31"/>
        <v>0</v>
      </c>
      <c r="V24" s="343">
        <f t="shared" si="31"/>
        <v>0</v>
      </c>
      <c r="W24" s="343">
        <f t="shared" si="31"/>
        <v>0</v>
      </c>
      <c r="X24" s="343">
        <f t="shared" si="31"/>
        <v>0</v>
      </c>
      <c r="Y24" s="343">
        <f t="shared" si="31"/>
        <v>0</v>
      </c>
      <c r="Z24" s="343">
        <f t="shared" si="31"/>
        <v>0</v>
      </c>
      <c r="AA24" s="343">
        <f t="shared" si="31"/>
        <v>0</v>
      </c>
      <c r="AB24" s="343">
        <f t="shared" si="31"/>
        <v>0</v>
      </c>
      <c r="AC24" s="343">
        <f t="shared" si="31"/>
        <v>0</v>
      </c>
      <c r="AD24" s="343">
        <f t="shared" si="31"/>
        <v>0</v>
      </c>
      <c r="AE24" s="763">
        <f t="shared" si="31"/>
        <v>0</v>
      </c>
      <c r="AF24" s="767">
        <f t="shared" si="31"/>
        <v>0</v>
      </c>
      <c r="AG24" s="344">
        <f t="shared" si="31"/>
        <v>0</v>
      </c>
      <c r="AH24" s="344">
        <f t="shared" si="31"/>
        <v>0</v>
      </c>
      <c r="AI24" s="344">
        <f t="shared" si="31"/>
        <v>0</v>
      </c>
      <c r="AJ24" s="344">
        <f t="shared" si="31"/>
        <v>0</v>
      </c>
      <c r="AK24" s="344">
        <f t="shared" si="31"/>
        <v>0</v>
      </c>
      <c r="AL24" s="35">
        <f t="shared" si="31"/>
        <v>0</v>
      </c>
      <c r="AM24" s="346">
        <f t="shared" si="31"/>
        <v>8903439</v>
      </c>
      <c r="AN24" s="343">
        <f t="shared" si="31"/>
        <v>6604925</v>
      </c>
      <c r="AO24" s="343">
        <f t="shared" si="31"/>
        <v>0</v>
      </c>
      <c r="AP24" s="343">
        <f t="shared" si="31"/>
        <v>2232465</v>
      </c>
      <c r="AQ24" s="343">
        <f t="shared" si="31"/>
        <v>66049</v>
      </c>
      <c r="AR24" s="343">
        <f t="shared" si="31"/>
        <v>0</v>
      </c>
      <c r="AS24" s="344">
        <f t="shared" si="31"/>
        <v>11.11</v>
      </c>
    </row>
    <row r="25" spans="1:45" s="152" customFormat="1" x14ac:dyDescent="0.2">
      <c r="A25" s="140">
        <v>5</v>
      </c>
      <c r="B25" s="141">
        <v>4492</v>
      </c>
      <c r="C25" s="141">
        <v>650065221</v>
      </c>
      <c r="D25" s="141">
        <v>71173838</v>
      </c>
      <c r="E25" s="139" t="s">
        <v>148</v>
      </c>
      <c r="F25" s="141">
        <v>3111</v>
      </c>
      <c r="G25" s="117" t="s">
        <v>277</v>
      </c>
      <c r="H25" s="560" t="s">
        <v>262</v>
      </c>
      <c r="I25" s="580">
        <v>7808725</v>
      </c>
      <c r="J25" s="490">
        <v>5792823</v>
      </c>
      <c r="K25" s="490">
        <v>0</v>
      </c>
      <c r="L25" s="55">
        <v>1957974</v>
      </c>
      <c r="M25" s="55">
        <v>57928</v>
      </c>
      <c r="N25" s="55">
        <v>0</v>
      </c>
      <c r="O25" s="614">
        <v>9</v>
      </c>
      <c r="P25" s="445">
        <f>W25*-1</f>
        <v>0</v>
      </c>
      <c r="Q25" s="325">
        <v>0</v>
      </c>
      <c r="R25" s="325">
        <v>0</v>
      </c>
      <c r="S25" s="325">
        <v>0</v>
      </c>
      <c r="T25" s="325">
        <v>0</v>
      </c>
      <c r="U25" s="325">
        <v>0</v>
      </c>
      <c r="V25" s="492">
        <f t="shared" ref="V25:V26" si="32">P25+Q25+R25+S25+T25+U25</f>
        <v>0</v>
      </c>
      <c r="W25" s="325">
        <v>0</v>
      </c>
      <c r="X25" s="325">
        <v>0</v>
      </c>
      <c r="Y25" s="325">
        <v>0</v>
      </c>
      <c r="Z25" s="492">
        <f t="shared" ref="Z25:Z26" si="33">W25+X25+Y25</f>
        <v>0</v>
      </c>
      <c r="AA25" s="492">
        <f t="shared" ref="AA25:AA26" si="34">V25+Z25</f>
        <v>0</v>
      </c>
      <c r="AB25" s="494">
        <f t="shared" ref="AB25:AB26" si="35">ROUND((V25+Z25)*33.8%,0)</f>
        <v>0</v>
      </c>
      <c r="AC25" s="494">
        <f t="shared" ref="AC25:AC26" si="36">ROUND(V25*1%,0)</f>
        <v>0</v>
      </c>
      <c r="AD25" s="492">
        <v>0</v>
      </c>
      <c r="AE25" s="753">
        <f t="shared" ref="AE25:AE26" si="37">AA25+AB25+AC25+AD25</f>
        <v>0</v>
      </c>
      <c r="AF25" s="688">
        <v>0</v>
      </c>
      <c r="AG25" s="326">
        <v>0</v>
      </c>
      <c r="AH25" s="326">
        <v>0</v>
      </c>
      <c r="AI25" s="326">
        <v>0</v>
      </c>
      <c r="AJ25" s="326">
        <v>0</v>
      </c>
      <c r="AK25" s="326">
        <v>0</v>
      </c>
      <c r="AL25" s="609">
        <f t="shared" ref="AL25:AL26" si="38">SUM(AF25:AK25)</f>
        <v>0</v>
      </c>
      <c r="AM25" s="493">
        <f>I25+AE25</f>
        <v>7808725</v>
      </c>
      <c r="AN25" s="492">
        <f>J25+V25</f>
        <v>5792823</v>
      </c>
      <c r="AO25" s="573">
        <f t="shared" ref="AO25:AO26" si="39">K25+Z25</f>
        <v>0</v>
      </c>
      <c r="AP25" s="492">
        <f>L25+AB25</f>
        <v>1957974</v>
      </c>
      <c r="AQ25" s="492">
        <f>M25+AC25</f>
        <v>57928</v>
      </c>
      <c r="AR25" s="492">
        <v>0</v>
      </c>
      <c r="AS25" s="491">
        <f t="shared" ref="AS25:AS26" si="40">O25+AL25</f>
        <v>9</v>
      </c>
    </row>
    <row r="26" spans="1:45" s="152" customFormat="1" x14ac:dyDescent="0.2">
      <c r="A26" s="140">
        <v>5</v>
      </c>
      <c r="B26" s="141">
        <v>4492</v>
      </c>
      <c r="C26" s="141">
        <v>650065221</v>
      </c>
      <c r="D26" s="141">
        <v>71173838</v>
      </c>
      <c r="E26" s="139" t="s">
        <v>148</v>
      </c>
      <c r="F26" s="141">
        <v>3111</v>
      </c>
      <c r="G26" s="117" t="s">
        <v>278</v>
      </c>
      <c r="H26" s="560" t="s">
        <v>263</v>
      </c>
      <c r="I26" s="580">
        <v>936163</v>
      </c>
      <c r="J26" s="490">
        <v>694483</v>
      </c>
      <c r="K26" s="490">
        <v>0</v>
      </c>
      <c r="L26" s="55">
        <v>234735</v>
      </c>
      <c r="M26" s="55">
        <v>6945</v>
      </c>
      <c r="N26" s="55">
        <v>0</v>
      </c>
      <c r="O26" s="614">
        <v>1.75</v>
      </c>
      <c r="P26" s="440">
        <f>W26*-1</f>
        <v>0</v>
      </c>
      <c r="Q26" s="325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 t="shared" si="32"/>
        <v>0</v>
      </c>
      <c r="W26" s="325">
        <v>0</v>
      </c>
      <c r="X26" s="325">
        <v>0</v>
      </c>
      <c r="Y26" s="325">
        <v>0</v>
      </c>
      <c r="Z26" s="492">
        <f t="shared" si="33"/>
        <v>0</v>
      </c>
      <c r="AA26" s="492">
        <f t="shared" si="34"/>
        <v>0</v>
      </c>
      <c r="AB26" s="494">
        <f t="shared" si="35"/>
        <v>0</v>
      </c>
      <c r="AC26" s="494">
        <f t="shared" si="36"/>
        <v>0</v>
      </c>
      <c r="AD26" s="492">
        <v>0</v>
      </c>
      <c r="AE26" s="753">
        <f t="shared" si="37"/>
        <v>0</v>
      </c>
      <c r="AF26" s="688">
        <v>0</v>
      </c>
      <c r="AG26" s="326">
        <v>0</v>
      </c>
      <c r="AH26" s="326">
        <v>0</v>
      </c>
      <c r="AI26" s="326">
        <v>0</v>
      </c>
      <c r="AJ26" s="326">
        <v>0</v>
      </c>
      <c r="AK26" s="326">
        <v>0</v>
      </c>
      <c r="AL26" s="609">
        <f t="shared" si="38"/>
        <v>0</v>
      </c>
      <c r="AM26" s="493">
        <f>I26+AE26</f>
        <v>936163</v>
      </c>
      <c r="AN26" s="492">
        <f>J26+V26</f>
        <v>694483</v>
      </c>
      <c r="AO26" s="573">
        <f t="shared" si="39"/>
        <v>0</v>
      </c>
      <c r="AP26" s="492">
        <f>L26+AB26</f>
        <v>234735</v>
      </c>
      <c r="AQ26" s="492">
        <f>M26+AC26</f>
        <v>6945</v>
      </c>
      <c r="AR26" s="492">
        <v>0</v>
      </c>
      <c r="AS26" s="491">
        <f t="shared" si="40"/>
        <v>1.75</v>
      </c>
    </row>
    <row r="27" spans="1:45" s="152" customFormat="1" x14ac:dyDescent="0.2">
      <c r="A27" s="107">
        <v>5</v>
      </c>
      <c r="B27" s="15">
        <v>4492</v>
      </c>
      <c r="C27" s="15">
        <v>650065221</v>
      </c>
      <c r="D27" s="15">
        <v>71173838</v>
      </c>
      <c r="E27" s="116" t="s">
        <v>149</v>
      </c>
      <c r="F27" s="15"/>
      <c r="G27" s="106"/>
      <c r="H27" s="555"/>
      <c r="I27" s="758">
        <v>8744888</v>
      </c>
      <c r="J27" s="343">
        <v>6487306</v>
      </c>
      <c r="K27" s="343">
        <v>0</v>
      </c>
      <c r="L27" s="343">
        <v>2192709</v>
      </c>
      <c r="M27" s="343">
        <v>64873</v>
      </c>
      <c r="N27" s="343">
        <v>0</v>
      </c>
      <c r="O27" s="35">
        <v>10.75</v>
      </c>
      <c r="P27" s="346">
        <f t="shared" ref="P27:AS27" si="41">SUM(P25:P26)</f>
        <v>0</v>
      </c>
      <c r="Q27" s="343">
        <f t="shared" si="41"/>
        <v>0</v>
      </c>
      <c r="R27" s="343">
        <f t="shared" si="41"/>
        <v>0</v>
      </c>
      <c r="S27" s="343">
        <f t="shared" si="41"/>
        <v>0</v>
      </c>
      <c r="T27" s="343">
        <f t="shared" si="41"/>
        <v>0</v>
      </c>
      <c r="U27" s="343">
        <f t="shared" si="41"/>
        <v>0</v>
      </c>
      <c r="V27" s="343">
        <f t="shared" si="41"/>
        <v>0</v>
      </c>
      <c r="W27" s="343">
        <f t="shared" si="41"/>
        <v>0</v>
      </c>
      <c r="X27" s="343">
        <f t="shared" si="41"/>
        <v>0</v>
      </c>
      <c r="Y27" s="343">
        <f t="shared" si="41"/>
        <v>0</v>
      </c>
      <c r="Z27" s="343">
        <f t="shared" si="41"/>
        <v>0</v>
      </c>
      <c r="AA27" s="343">
        <f t="shared" si="41"/>
        <v>0</v>
      </c>
      <c r="AB27" s="343">
        <f t="shared" si="41"/>
        <v>0</v>
      </c>
      <c r="AC27" s="343">
        <f t="shared" si="41"/>
        <v>0</v>
      </c>
      <c r="AD27" s="343">
        <f t="shared" si="41"/>
        <v>0</v>
      </c>
      <c r="AE27" s="763">
        <f t="shared" si="41"/>
        <v>0</v>
      </c>
      <c r="AF27" s="767">
        <f t="shared" si="41"/>
        <v>0</v>
      </c>
      <c r="AG27" s="344">
        <f t="shared" si="41"/>
        <v>0</v>
      </c>
      <c r="AH27" s="344">
        <f t="shared" si="41"/>
        <v>0</v>
      </c>
      <c r="AI27" s="344">
        <f t="shared" si="41"/>
        <v>0</v>
      </c>
      <c r="AJ27" s="344">
        <f t="shared" si="41"/>
        <v>0</v>
      </c>
      <c r="AK27" s="344">
        <f t="shared" si="41"/>
        <v>0</v>
      </c>
      <c r="AL27" s="35">
        <f t="shared" si="41"/>
        <v>0</v>
      </c>
      <c r="AM27" s="346">
        <f t="shared" si="41"/>
        <v>8744888</v>
      </c>
      <c r="AN27" s="343">
        <f t="shared" si="41"/>
        <v>6487306</v>
      </c>
      <c r="AO27" s="343">
        <f t="shared" si="41"/>
        <v>0</v>
      </c>
      <c r="AP27" s="343">
        <f t="shared" si="41"/>
        <v>2192709</v>
      </c>
      <c r="AQ27" s="343">
        <f t="shared" si="41"/>
        <v>64873</v>
      </c>
      <c r="AR27" s="343">
        <f t="shared" si="41"/>
        <v>0</v>
      </c>
      <c r="AS27" s="344">
        <f t="shared" si="41"/>
        <v>10.75</v>
      </c>
    </row>
    <row r="28" spans="1:45" s="152" customFormat="1" x14ac:dyDescent="0.2">
      <c r="A28" s="140">
        <v>6</v>
      </c>
      <c r="B28" s="141">
        <v>4408</v>
      </c>
      <c r="C28" s="141">
        <v>600074528</v>
      </c>
      <c r="D28" s="141">
        <v>70982163</v>
      </c>
      <c r="E28" s="139" t="s">
        <v>150</v>
      </c>
      <c r="F28" s="141">
        <v>3111</v>
      </c>
      <c r="G28" s="117" t="s">
        <v>277</v>
      </c>
      <c r="H28" s="560" t="s">
        <v>262</v>
      </c>
      <c r="I28" s="580">
        <v>10518419</v>
      </c>
      <c r="J28" s="490">
        <v>7802981</v>
      </c>
      <c r="K28" s="490">
        <v>0</v>
      </c>
      <c r="L28" s="55">
        <v>2637408</v>
      </c>
      <c r="M28" s="55">
        <v>78030</v>
      </c>
      <c r="N28" s="55">
        <v>0</v>
      </c>
      <c r="O28" s="614">
        <v>12.74</v>
      </c>
      <c r="P28" s="445">
        <f>W28*-1</f>
        <v>0</v>
      </c>
      <c r="Q28" s="325">
        <v>0</v>
      </c>
      <c r="R28" s="325">
        <v>0</v>
      </c>
      <c r="S28" s="325">
        <v>0</v>
      </c>
      <c r="T28" s="325">
        <v>0</v>
      </c>
      <c r="U28" s="325">
        <v>0</v>
      </c>
      <c r="V28" s="492">
        <f t="shared" ref="V28:V29" si="42">P28+Q28+R28+S28+T28+U28</f>
        <v>0</v>
      </c>
      <c r="W28" s="325">
        <v>0</v>
      </c>
      <c r="X28" s="325">
        <v>0</v>
      </c>
      <c r="Y28" s="325">
        <v>0</v>
      </c>
      <c r="Z28" s="492">
        <f t="shared" ref="Z28:Z29" si="43">W28+X28+Y28</f>
        <v>0</v>
      </c>
      <c r="AA28" s="492">
        <f t="shared" ref="AA28:AA29" si="44">V28+Z28</f>
        <v>0</v>
      </c>
      <c r="AB28" s="494">
        <f t="shared" ref="AB28:AB29" si="45">ROUND((V28+Z28)*33.8%,0)</f>
        <v>0</v>
      </c>
      <c r="AC28" s="494">
        <f t="shared" ref="AC28:AC29" si="46">ROUND(V28*1%,0)</f>
        <v>0</v>
      </c>
      <c r="AD28" s="492">
        <v>0</v>
      </c>
      <c r="AE28" s="753">
        <f t="shared" ref="AE28:AE29" si="47">AA28+AB28+AC28+AD28</f>
        <v>0</v>
      </c>
      <c r="AF28" s="688">
        <v>0</v>
      </c>
      <c r="AG28" s="326">
        <v>0</v>
      </c>
      <c r="AH28" s="326">
        <v>0</v>
      </c>
      <c r="AI28" s="326">
        <v>0</v>
      </c>
      <c r="AJ28" s="326">
        <v>0</v>
      </c>
      <c r="AK28" s="326">
        <v>0</v>
      </c>
      <c r="AL28" s="609">
        <f t="shared" ref="AL28:AL29" si="48">SUM(AF28:AK28)</f>
        <v>0</v>
      </c>
      <c r="AM28" s="493">
        <f>I28+AE28</f>
        <v>10518419</v>
      </c>
      <c r="AN28" s="492">
        <f>J28+V28</f>
        <v>7802981</v>
      </c>
      <c r="AO28" s="573">
        <f t="shared" ref="AO28:AO29" si="49">K28+Z28</f>
        <v>0</v>
      </c>
      <c r="AP28" s="492">
        <f>L28+AB28</f>
        <v>2637408</v>
      </c>
      <c r="AQ28" s="492">
        <f>M28+AC28</f>
        <v>78030</v>
      </c>
      <c r="AR28" s="492">
        <v>0</v>
      </c>
      <c r="AS28" s="491">
        <f t="shared" ref="AS28:AS29" si="50">O28+AL28</f>
        <v>12.74</v>
      </c>
    </row>
    <row r="29" spans="1:45" s="152" customFormat="1" x14ac:dyDescent="0.2">
      <c r="A29" s="140">
        <v>6</v>
      </c>
      <c r="B29" s="141">
        <v>4408</v>
      </c>
      <c r="C29" s="141">
        <v>600074528</v>
      </c>
      <c r="D29" s="141">
        <v>70982163</v>
      </c>
      <c r="E29" s="139" t="s">
        <v>150</v>
      </c>
      <c r="F29" s="141">
        <v>3111</v>
      </c>
      <c r="G29" s="117" t="s">
        <v>278</v>
      </c>
      <c r="H29" s="560" t="s">
        <v>263</v>
      </c>
      <c r="I29" s="580">
        <v>1384169</v>
      </c>
      <c r="J29" s="490">
        <v>1026832</v>
      </c>
      <c r="K29" s="490">
        <v>0</v>
      </c>
      <c r="L29" s="55">
        <v>347069</v>
      </c>
      <c r="M29" s="55">
        <v>10268</v>
      </c>
      <c r="N29" s="55">
        <v>0</v>
      </c>
      <c r="O29" s="614">
        <v>2.96</v>
      </c>
      <c r="P29" s="440">
        <f>W29*-1</f>
        <v>0</v>
      </c>
      <c r="Q29" s="325">
        <v>0</v>
      </c>
      <c r="R29" s="325">
        <v>0</v>
      </c>
      <c r="S29" s="325">
        <v>0</v>
      </c>
      <c r="T29" s="325">
        <v>0</v>
      </c>
      <c r="U29" s="325">
        <v>0</v>
      </c>
      <c r="V29" s="492">
        <f t="shared" si="42"/>
        <v>0</v>
      </c>
      <c r="W29" s="325">
        <v>0</v>
      </c>
      <c r="X29" s="325">
        <v>0</v>
      </c>
      <c r="Y29" s="325">
        <v>0</v>
      </c>
      <c r="Z29" s="492">
        <f t="shared" si="43"/>
        <v>0</v>
      </c>
      <c r="AA29" s="492">
        <f t="shared" si="44"/>
        <v>0</v>
      </c>
      <c r="AB29" s="494">
        <f t="shared" si="45"/>
        <v>0</v>
      </c>
      <c r="AC29" s="494">
        <f t="shared" si="46"/>
        <v>0</v>
      </c>
      <c r="AD29" s="492">
        <v>0</v>
      </c>
      <c r="AE29" s="753">
        <f t="shared" si="47"/>
        <v>0</v>
      </c>
      <c r="AF29" s="688">
        <v>0</v>
      </c>
      <c r="AG29" s="326">
        <v>0</v>
      </c>
      <c r="AH29" s="326">
        <v>0</v>
      </c>
      <c r="AI29" s="326">
        <v>0</v>
      </c>
      <c r="AJ29" s="326">
        <v>0</v>
      </c>
      <c r="AK29" s="326">
        <v>0</v>
      </c>
      <c r="AL29" s="609">
        <f t="shared" si="48"/>
        <v>0</v>
      </c>
      <c r="AM29" s="493">
        <f>I29+AE29</f>
        <v>1384169</v>
      </c>
      <c r="AN29" s="492">
        <f>J29+V29</f>
        <v>1026832</v>
      </c>
      <c r="AO29" s="573">
        <f t="shared" si="49"/>
        <v>0</v>
      </c>
      <c r="AP29" s="492">
        <f>L29+AB29</f>
        <v>347069</v>
      </c>
      <c r="AQ29" s="492">
        <f>M29+AC29</f>
        <v>10268</v>
      </c>
      <c r="AR29" s="492">
        <v>0</v>
      </c>
      <c r="AS29" s="491">
        <f t="shared" si="50"/>
        <v>2.96</v>
      </c>
    </row>
    <row r="30" spans="1:45" s="152" customFormat="1" x14ac:dyDescent="0.2">
      <c r="A30" s="107">
        <v>6</v>
      </c>
      <c r="B30" s="15">
        <v>4408</v>
      </c>
      <c r="C30" s="15">
        <v>600074528</v>
      </c>
      <c r="D30" s="15">
        <v>70982163</v>
      </c>
      <c r="E30" s="116" t="s">
        <v>151</v>
      </c>
      <c r="F30" s="15"/>
      <c r="G30" s="106"/>
      <c r="H30" s="555"/>
      <c r="I30" s="758">
        <v>11902588</v>
      </c>
      <c r="J30" s="343">
        <v>8829813</v>
      </c>
      <c r="K30" s="343">
        <v>0</v>
      </c>
      <c r="L30" s="343">
        <v>2984477</v>
      </c>
      <c r="M30" s="343">
        <v>88298</v>
      </c>
      <c r="N30" s="343">
        <v>0</v>
      </c>
      <c r="O30" s="35">
        <v>15.7</v>
      </c>
      <c r="P30" s="346">
        <f t="shared" ref="P30:AS30" si="51">SUM(P28:P29)</f>
        <v>0</v>
      </c>
      <c r="Q30" s="343">
        <f t="shared" si="51"/>
        <v>0</v>
      </c>
      <c r="R30" s="343">
        <f t="shared" si="51"/>
        <v>0</v>
      </c>
      <c r="S30" s="343">
        <f t="shared" si="51"/>
        <v>0</v>
      </c>
      <c r="T30" s="343">
        <f t="shared" si="51"/>
        <v>0</v>
      </c>
      <c r="U30" s="343">
        <f t="shared" si="51"/>
        <v>0</v>
      </c>
      <c r="V30" s="343">
        <f t="shared" si="51"/>
        <v>0</v>
      </c>
      <c r="W30" s="343">
        <f t="shared" si="51"/>
        <v>0</v>
      </c>
      <c r="X30" s="343">
        <f t="shared" si="51"/>
        <v>0</v>
      </c>
      <c r="Y30" s="343">
        <f t="shared" si="51"/>
        <v>0</v>
      </c>
      <c r="Z30" s="343">
        <f t="shared" si="51"/>
        <v>0</v>
      </c>
      <c r="AA30" s="343">
        <f t="shared" si="51"/>
        <v>0</v>
      </c>
      <c r="AB30" s="343">
        <f t="shared" si="51"/>
        <v>0</v>
      </c>
      <c r="AC30" s="343">
        <f t="shared" si="51"/>
        <v>0</v>
      </c>
      <c r="AD30" s="343">
        <f t="shared" si="51"/>
        <v>0</v>
      </c>
      <c r="AE30" s="763">
        <f t="shared" si="51"/>
        <v>0</v>
      </c>
      <c r="AF30" s="767">
        <f t="shared" si="51"/>
        <v>0</v>
      </c>
      <c r="AG30" s="344">
        <f t="shared" si="51"/>
        <v>0</v>
      </c>
      <c r="AH30" s="344">
        <f t="shared" si="51"/>
        <v>0</v>
      </c>
      <c r="AI30" s="344">
        <f t="shared" si="51"/>
        <v>0</v>
      </c>
      <c r="AJ30" s="344">
        <f t="shared" si="51"/>
        <v>0</v>
      </c>
      <c r="AK30" s="344">
        <f t="shared" si="51"/>
        <v>0</v>
      </c>
      <c r="AL30" s="35">
        <f t="shared" si="51"/>
        <v>0</v>
      </c>
      <c r="AM30" s="346">
        <f t="shared" si="51"/>
        <v>11902588</v>
      </c>
      <c r="AN30" s="343">
        <f t="shared" si="51"/>
        <v>8829813</v>
      </c>
      <c r="AO30" s="343">
        <f t="shared" si="51"/>
        <v>0</v>
      </c>
      <c r="AP30" s="343">
        <f t="shared" si="51"/>
        <v>2984477</v>
      </c>
      <c r="AQ30" s="343">
        <f t="shared" si="51"/>
        <v>88298</v>
      </c>
      <c r="AR30" s="343">
        <f t="shared" si="51"/>
        <v>0</v>
      </c>
      <c r="AS30" s="344">
        <f t="shared" si="51"/>
        <v>15.7</v>
      </c>
    </row>
    <row r="31" spans="1:45" s="152" customFormat="1" x14ac:dyDescent="0.2">
      <c r="A31" s="140">
        <v>7</v>
      </c>
      <c r="B31" s="141">
        <v>4423</v>
      </c>
      <c r="C31" s="141">
        <v>600074439</v>
      </c>
      <c r="D31" s="141">
        <v>70982155</v>
      </c>
      <c r="E31" s="139" t="s">
        <v>152</v>
      </c>
      <c r="F31" s="141">
        <v>3111</v>
      </c>
      <c r="G31" s="117" t="s">
        <v>277</v>
      </c>
      <c r="H31" s="560" t="s">
        <v>262</v>
      </c>
      <c r="I31" s="580">
        <v>6889875</v>
      </c>
      <c r="J31" s="490">
        <v>5111183</v>
      </c>
      <c r="K31" s="490">
        <v>0</v>
      </c>
      <c r="L31" s="55">
        <v>1727580</v>
      </c>
      <c r="M31" s="55">
        <v>51112</v>
      </c>
      <c r="N31" s="55">
        <v>0</v>
      </c>
      <c r="O31" s="614">
        <v>8</v>
      </c>
      <c r="P31" s="445">
        <f>W31*-1</f>
        <v>0</v>
      </c>
      <c r="Q31" s="325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 t="shared" ref="V31:V32" si="52">P31+Q31+R31+S31+T31+U31</f>
        <v>0</v>
      </c>
      <c r="W31" s="325">
        <v>0</v>
      </c>
      <c r="X31" s="325">
        <v>0</v>
      </c>
      <c r="Y31" s="325">
        <v>0</v>
      </c>
      <c r="Z31" s="492">
        <f t="shared" ref="Z31:Z32" si="53">W31+X31+Y31</f>
        <v>0</v>
      </c>
      <c r="AA31" s="492">
        <f t="shared" ref="AA31:AA32" si="54">V31+Z31</f>
        <v>0</v>
      </c>
      <c r="AB31" s="494">
        <f t="shared" ref="AB31:AB32" si="55">ROUND((V31+Z31)*33.8%,0)</f>
        <v>0</v>
      </c>
      <c r="AC31" s="494">
        <f t="shared" ref="AC31:AC32" si="56">ROUND(V31*1%,0)</f>
        <v>0</v>
      </c>
      <c r="AD31" s="492">
        <v>0</v>
      </c>
      <c r="AE31" s="753">
        <f t="shared" ref="AE31:AE32" si="57">AA31+AB31+AC31+AD31</f>
        <v>0</v>
      </c>
      <c r="AF31" s="688">
        <v>0</v>
      </c>
      <c r="AG31" s="326">
        <v>0</v>
      </c>
      <c r="AH31" s="326">
        <v>0</v>
      </c>
      <c r="AI31" s="326">
        <v>0</v>
      </c>
      <c r="AJ31" s="326">
        <v>0</v>
      </c>
      <c r="AK31" s="326">
        <v>0</v>
      </c>
      <c r="AL31" s="609">
        <f t="shared" ref="AL31:AL32" si="58">SUM(AF31:AK31)</f>
        <v>0</v>
      </c>
      <c r="AM31" s="493">
        <f>I31+AE31</f>
        <v>6889875</v>
      </c>
      <c r="AN31" s="492">
        <f>J31+V31</f>
        <v>5111183</v>
      </c>
      <c r="AO31" s="573">
        <f t="shared" ref="AO31:AO32" si="59">K31+Z31</f>
        <v>0</v>
      </c>
      <c r="AP31" s="492">
        <f>L31+AB31</f>
        <v>1727580</v>
      </c>
      <c r="AQ31" s="492">
        <f>M31+AC31</f>
        <v>51112</v>
      </c>
      <c r="AR31" s="492">
        <v>0</v>
      </c>
      <c r="AS31" s="491">
        <f t="shared" ref="AS31:AS32" si="60">O31+AL31</f>
        <v>8</v>
      </c>
    </row>
    <row r="32" spans="1:45" s="152" customFormat="1" x14ac:dyDescent="0.2">
      <c r="A32" s="140">
        <v>7</v>
      </c>
      <c r="B32" s="141">
        <v>4423</v>
      </c>
      <c r="C32" s="141">
        <v>600074439</v>
      </c>
      <c r="D32" s="141">
        <v>70982155</v>
      </c>
      <c r="E32" s="139" t="s">
        <v>152</v>
      </c>
      <c r="F32" s="141">
        <v>3111</v>
      </c>
      <c r="G32" s="117" t="s">
        <v>278</v>
      </c>
      <c r="H32" s="560" t="s">
        <v>263</v>
      </c>
      <c r="I32" s="580">
        <v>0</v>
      </c>
      <c r="J32" s="490">
        <v>0</v>
      </c>
      <c r="K32" s="490">
        <v>0</v>
      </c>
      <c r="L32" s="55">
        <v>0</v>
      </c>
      <c r="M32" s="55">
        <v>0</v>
      </c>
      <c r="N32" s="55">
        <v>0</v>
      </c>
      <c r="O32" s="614">
        <v>0</v>
      </c>
      <c r="P32" s="440">
        <f>W32*-1</f>
        <v>0</v>
      </c>
      <c r="Q32" s="325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 t="shared" si="52"/>
        <v>0</v>
      </c>
      <c r="W32" s="325">
        <v>0</v>
      </c>
      <c r="X32" s="325">
        <v>0</v>
      </c>
      <c r="Y32" s="325">
        <v>0</v>
      </c>
      <c r="Z32" s="492">
        <f t="shared" si="53"/>
        <v>0</v>
      </c>
      <c r="AA32" s="492">
        <f t="shared" si="54"/>
        <v>0</v>
      </c>
      <c r="AB32" s="494">
        <f t="shared" si="55"/>
        <v>0</v>
      </c>
      <c r="AC32" s="494">
        <f t="shared" si="56"/>
        <v>0</v>
      </c>
      <c r="AD32" s="492">
        <v>0</v>
      </c>
      <c r="AE32" s="753">
        <f t="shared" si="57"/>
        <v>0</v>
      </c>
      <c r="AF32" s="688">
        <v>0</v>
      </c>
      <c r="AG32" s="326">
        <v>0</v>
      </c>
      <c r="AH32" s="326">
        <v>0</v>
      </c>
      <c r="AI32" s="326">
        <v>0</v>
      </c>
      <c r="AJ32" s="326">
        <v>0</v>
      </c>
      <c r="AK32" s="326">
        <v>0</v>
      </c>
      <c r="AL32" s="609">
        <f t="shared" si="58"/>
        <v>0</v>
      </c>
      <c r="AM32" s="493">
        <f>I32+AE32</f>
        <v>0</v>
      </c>
      <c r="AN32" s="492">
        <f>J32+V32</f>
        <v>0</v>
      </c>
      <c r="AO32" s="573">
        <f t="shared" si="59"/>
        <v>0</v>
      </c>
      <c r="AP32" s="492">
        <f>L32+AB32</f>
        <v>0</v>
      </c>
      <c r="AQ32" s="492">
        <f>M32+AC32</f>
        <v>0</v>
      </c>
      <c r="AR32" s="492">
        <v>0</v>
      </c>
      <c r="AS32" s="491">
        <f t="shared" si="60"/>
        <v>0</v>
      </c>
    </row>
    <row r="33" spans="1:45" s="152" customFormat="1" x14ac:dyDescent="0.2">
      <c r="A33" s="107">
        <v>7</v>
      </c>
      <c r="B33" s="15">
        <v>4423</v>
      </c>
      <c r="C33" s="15">
        <v>600074439</v>
      </c>
      <c r="D33" s="15">
        <v>70982155</v>
      </c>
      <c r="E33" s="116" t="s">
        <v>153</v>
      </c>
      <c r="F33" s="15"/>
      <c r="G33" s="106"/>
      <c r="H33" s="555"/>
      <c r="I33" s="758">
        <v>6889875</v>
      </c>
      <c r="J33" s="343">
        <v>5111183</v>
      </c>
      <c r="K33" s="343">
        <v>0</v>
      </c>
      <c r="L33" s="343">
        <v>1727580</v>
      </c>
      <c r="M33" s="343">
        <v>51112</v>
      </c>
      <c r="N33" s="343">
        <v>0</v>
      </c>
      <c r="O33" s="35">
        <v>8</v>
      </c>
      <c r="P33" s="346">
        <f t="shared" ref="P33:AS33" si="61">SUM(P31:P32)</f>
        <v>0</v>
      </c>
      <c r="Q33" s="343">
        <f t="shared" si="61"/>
        <v>0</v>
      </c>
      <c r="R33" s="343">
        <f t="shared" si="61"/>
        <v>0</v>
      </c>
      <c r="S33" s="343">
        <f t="shared" si="61"/>
        <v>0</v>
      </c>
      <c r="T33" s="343">
        <f t="shared" si="61"/>
        <v>0</v>
      </c>
      <c r="U33" s="343">
        <f t="shared" si="61"/>
        <v>0</v>
      </c>
      <c r="V33" s="343">
        <f t="shared" si="61"/>
        <v>0</v>
      </c>
      <c r="W33" s="343">
        <f t="shared" si="61"/>
        <v>0</v>
      </c>
      <c r="X33" s="343">
        <f t="shared" si="61"/>
        <v>0</v>
      </c>
      <c r="Y33" s="343">
        <f t="shared" si="61"/>
        <v>0</v>
      </c>
      <c r="Z33" s="343">
        <f t="shared" si="61"/>
        <v>0</v>
      </c>
      <c r="AA33" s="343">
        <f t="shared" si="61"/>
        <v>0</v>
      </c>
      <c r="AB33" s="343">
        <f t="shared" si="61"/>
        <v>0</v>
      </c>
      <c r="AC33" s="343">
        <f t="shared" si="61"/>
        <v>0</v>
      </c>
      <c r="AD33" s="343">
        <f t="shared" si="61"/>
        <v>0</v>
      </c>
      <c r="AE33" s="763">
        <f t="shared" si="61"/>
        <v>0</v>
      </c>
      <c r="AF33" s="767">
        <f t="shared" si="61"/>
        <v>0</v>
      </c>
      <c r="AG33" s="344">
        <f t="shared" si="61"/>
        <v>0</v>
      </c>
      <c r="AH33" s="344">
        <f t="shared" si="61"/>
        <v>0</v>
      </c>
      <c r="AI33" s="344">
        <f t="shared" si="61"/>
        <v>0</v>
      </c>
      <c r="AJ33" s="344">
        <f t="shared" si="61"/>
        <v>0</v>
      </c>
      <c r="AK33" s="344">
        <f t="shared" si="61"/>
        <v>0</v>
      </c>
      <c r="AL33" s="35">
        <f t="shared" si="61"/>
        <v>0</v>
      </c>
      <c r="AM33" s="346">
        <f t="shared" si="61"/>
        <v>6889875</v>
      </c>
      <c r="AN33" s="343">
        <f t="shared" si="61"/>
        <v>5111183</v>
      </c>
      <c r="AO33" s="343">
        <f t="shared" si="61"/>
        <v>0</v>
      </c>
      <c r="AP33" s="343">
        <f t="shared" si="61"/>
        <v>1727580</v>
      </c>
      <c r="AQ33" s="343">
        <f t="shared" si="61"/>
        <v>51112</v>
      </c>
      <c r="AR33" s="343">
        <f t="shared" si="61"/>
        <v>0</v>
      </c>
      <c r="AS33" s="344">
        <f t="shared" si="61"/>
        <v>8</v>
      </c>
    </row>
    <row r="34" spans="1:45" s="152" customFormat="1" x14ac:dyDescent="0.2">
      <c r="A34" s="140">
        <v>8</v>
      </c>
      <c r="B34" s="141">
        <v>4404</v>
      </c>
      <c r="C34" s="141">
        <v>600074331</v>
      </c>
      <c r="D34" s="141">
        <v>831298</v>
      </c>
      <c r="E34" s="139" t="s">
        <v>154</v>
      </c>
      <c r="F34" s="141">
        <v>3111</v>
      </c>
      <c r="G34" s="117" t="s">
        <v>277</v>
      </c>
      <c r="H34" s="560" t="s">
        <v>262</v>
      </c>
      <c r="I34" s="580">
        <v>20650224</v>
      </c>
      <c r="J34" s="490">
        <v>15319157</v>
      </c>
      <c r="K34" s="490">
        <v>0</v>
      </c>
      <c r="L34" s="55">
        <v>5177875</v>
      </c>
      <c r="M34" s="55">
        <v>153192</v>
      </c>
      <c r="N34" s="55">
        <v>0</v>
      </c>
      <c r="O34" s="614">
        <v>26.2</v>
      </c>
      <c r="P34" s="445">
        <f>W34*-1</f>
        <v>0</v>
      </c>
      <c r="Q34" s="325">
        <v>0</v>
      </c>
      <c r="R34" s="325">
        <v>0</v>
      </c>
      <c r="S34" s="325">
        <v>0</v>
      </c>
      <c r="T34" s="325">
        <v>0</v>
      </c>
      <c r="U34" s="325">
        <v>0</v>
      </c>
      <c r="V34" s="492">
        <f t="shared" ref="V34:V35" si="62">P34+Q34+R34+S34+T34+U34</f>
        <v>0</v>
      </c>
      <c r="W34" s="325">
        <v>0</v>
      </c>
      <c r="X34" s="325">
        <v>0</v>
      </c>
      <c r="Y34" s="325">
        <v>0</v>
      </c>
      <c r="Z34" s="492">
        <f t="shared" ref="Z34:Z35" si="63">W34+X34+Y34</f>
        <v>0</v>
      </c>
      <c r="AA34" s="492">
        <f t="shared" ref="AA34:AA35" si="64">V34+Z34</f>
        <v>0</v>
      </c>
      <c r="AB34" s="494">
        <f t="shared" ref="AB34:AB35" si="65">ROUND((V34+Z34)*33.8%,0)</f>
        <v>0</v>
      </c>
      <c r="AC34" s="494">
        <f t="shared" ref="AC34:AC35" si="66">ROUND(V34*1%,0)</f>
        <v>0</v>
      </c>
      <c r="AD34" s="492">
        <v>0</v>
      </c>
      <c r="AE34" s="753">
        <f t="shared" ref="AE34:AE35" si="67">AA34+AB34+AC34+AD34</f>
        <v>0</v>
      </c>
      <c r="AF34" s="688">
        <v>0</v>
      </c>
      <c r="AG34" s="326">
        <v>0</v>
      </c>
      <c r="AH34" s="326">
        <v>0</v>
      </c>
      <c r="AI34" s="326">
        <v>0</v>
      </c>
      <c r="AJ34" s="326">
        <v>0</v>
      </c>
      <c r="AK34" s="326">
        <v>0</v>
      </c>
      <c r="AL34" s="609">
        <f t="shared" ref="AL34:AL35" si="68">SUM(AF34:AK34)</f>
        <v>0</v>
      </c>
      <c r="AM34" s="493">
        <f>I34+AE34</f>
        <v>20650224</v>
      </c>
      <c r="AN34" s="492">
        <f>J34+V34</f>
        <v>15319157</v>
      </c>
      <c r="AO34" s="573">
        <f t="shared" ref="AO34:AO35" si="69">K34+Z34</f>
        <v>0</v>
      </c>
      <c r="AP34" s="492">
        <f>L34+AB34</f>
        <v>5177875</v>
      </c>
      <c r="AQ34" s="492">
        <f>M34+AC34</f>
        <v>153192</v>
      </c>
      <c r="AR34" s="492">
        <v>0</v>
      </c>
      <c r="AS34" s="491">
        <f t="shared" ref="AS34:AS35" si="70">O34+AL34</f>
        <v>26.2</v>
      </c>
    </row>
    <row r="35" spans="1:45" s="152" customFormat="1" x14ac:dyDescent="0.2">
      <c r="A35" s="140">
        <v>8</v>
      </c>
      <c r="B35" s="141">
        <v>4404</v>
      </c>
      <c r="C35" s="141">
        <v>600074331</v>
      </c>
      <c r="D35" s="141">
        <v>831298</v>
      </c>
      <c r="E35" s="139" t="s">
        <v>154</v>
      </c>
      <c r="F35" s="141">
        <v>3111</v>
      </c>
      <c r="G35" s="117" t="s">
        <v>278</v>
      </c>
      <c r="H35" s="560" t="s">
        <v>263</v>
      </c>
      <c r="I35" s="580">
        <v>2837289</v>
      </c>
      <c r="J35" s="490">
        <v>2104814</v>
      </c>
      <c r="K35" s="490">
        <v>0</v>
      </c>
      <c r="L35" s="55">
        <v>711427</v>
      </c>
      <c r="M35" s="55">
        <v>21048</v>
      </c>
      <c r="N35" s="55">
        <v>0</v>
      </c>
      <c r="O35" s="614">
        <v>6.05</v>
      </c>
      <c r="P35" s="440">
        <f>W35*-1</f>
        <v>0</v>
      </c>
      <c r="Q35" s="325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 t="shared" si="62"/>
        <v>0</v>
      </c>
      <c r="W35" s="325">
        <v>0</v>
      </c>
      <c r="X35" s="325">
        <v>0</v>
      </c>
      <c r="Y35" s="325">
        <v>0</v>
      </c>
      <c r="Z35" s="492">
        <f t="shared" si="63"/>
        <v>0</v>
      </c>
      <c r="AA35" s="492">
        <f t="shared" si="64"/>
        <v>0</v>
      </c>
      <c r="AB35" s="494">
        <f t="shared" si="65"/>
        <v>0</v>
      </c>
      <c r="AC35" s="494">
        <f t="shared" si="66"/>
        <v>0</v>
      </c>
      <c r="AD35" s="492">
        <v>0</v>
      </c>
      <c r="AE35" s="753">
        <f t="shared" si="67"/>
        <v>0</v>
      </c>
      <c r="AF35" s="688">
        <v>0</v>
      </c>
      <c r="AG35" s="326">
        <v>0</v>
      </c>
      <c r="AH35" s="326">
        <v>0</v>
      </c>
      <c r="AI35" s="326">
        <v>0</v>
      </c>
      <c r="AJ35" s="326">
        <v>0</v>
      </c>
      <c r="AK35" s="326">
        <v>0</v>
      </c>
      <c r="AL35" s="609">
        <f t="shared" si="68"/>
        <v>0</v>
      </c>
      <c r="AM35" s="493">
        <f>I35+AE35</f>
        <v>2837289</v>
      </c>
      <c r="AN35" s="492">
        <f>J35+V35</f>
        <v>2104814</v>
      </c>
      <c r="AO35" s="573">
        <f t="shared" si="69"/>
        <v>0</v>
      </c>
      <c r="AP35" s="492">
        <f>L35+AB35</f>
        <v>711427</v>
      </c>
      <c r="AQ35" s="492">
        <f>M35+AC35</f>
        <v>21048</v>
      </c>
      <c r="AR35" s="492">
        <v>0</v>
      </c>
      <c r="AS35" s="491">
        <f t="shared" si="70"/>
        <v>6.05</v>
      </c>
    </row>
    <row r="36" spans="1:45" s="152" customFormat="1" x14ac:dyDescent="0.2">
      <c r="A36" s="107">
        <v>8</v>
      </c>
      <c r="B36" s="15">
        <v>4404</v>
      </c>
      <c r="C36" s="15">
        <v>600074331</v>
      </c>
      <c r="D36" s="15">
        <v>831298</v>
      </c>
      <c r="E36" s="116" t="s">
        <v>155</v>
      </c>
      <c r="F36" s="15"/>
      <c r="G36" s="106"/>
      <c r="H36" s="555"/>
      <c r="I36" s="758">
        <v>23487513</v>
      </c>
      <c r="J36" s="343">
        <v>17423971</v>
      </c>
      <c r="K36" s="343">
        <v>0</v>
      </c>
      <c r="L36" s="343">
        <v>5889302</v>
      </c>
      <c r="M36" s="343">
        <v>174240</v>
      </c>
      <c r="N36" s="343">
        <v>0</v>
      </c>
      <c r="O36" s="35">
        <v>32.25</v>
      </c>
      <c r="P36" s="346">
        <f t="shared" ref="P36:AS36" si="71">SUM(P34:P35)</f>
        <v>0</v>
      </c>
      <c r="Q36" s="343">
        <f t="shared" si="71"/>
        <v>0</v>
      </c>
      <c r="R36" s="343">
        <f t="shared" si="71"/>
        <v>0</v>
      </c>
      <c r="S36" s="343">
        <f t="shared" si="71"/>
        <v>0</v>
      </c>
      <c r="T36" s="343">
        <f t="shared" si="71"/>
        <v>0</v>
      </c>
      <c r="U36" s="343">
        <f t="shared" si="71"/>
        <v>0</v>
      </c>
      <c r="V36" s="343">
        <f t="shared" si="71"/>
        <v>0</v>
      </c>
      <c r="W36" s="343">
        <f t="shared" si="71"/>
        <v>0</v>
      </c>
      <c r="X36" s="343">
        <f t="shared" si="71"/>
        <v>0</v>
      </c>
      <c r="Y36" s="343">
        <f t="shared" si="71"/>
        <v>0</v>
      </c>
      <c r="Z36" s="343">
        <f t="shared" si="71"/>
        <v>0</v>
      </c>
      <c r="AA36" s="343">
        <f t="shared" si="71"/>
        <v>0</v>
      </c>
      <c r="AB36" s="343">
        <f t="shared" si="71"/>
        <v>0</v>
      </c>
      <c r="AC36" s="343">
        <f t="shared" si="71"/>
        <v>0</v>
      </c>
      <c r="AD36" s="343">
        <f t="shared" si="71"/>
        <v>0</v>
      </c>
      <c r="AE36" s="763">
        <f t="shared" si="71"/>
        <v>0</v>
      </c>
      <c r="AF36" s="767">
        <f t="shared" si="71"/>
        <v>0</v>
      </c>
      <c r="AG36" s="344">
        <f t="shared" si="71"/>
        <v>0</v>
      </c>
      <c r="AH36" s="344">
        <f t="shared" si="71"/>
        <v>0</v>
      </c>
      <c r="AI36" s="344">
        <f t="shared" si="71"/>
        <v>0</v>
      </c>
      <c r="AJ36" s="344">
        <f t="shared" si="71"/>
        <v>0</v>
      </c>
      <c r="AK36" s="344">
        <f t="shared" si="71"/>
        <v>0</v>
      </c>
      <c r="AL36" s="35">
        <f t="shared" si="71"/>
        <v>0</v>
      </c>
      <c r="AM36" s="346">
        <f t="shared" si="71"/>
        <v>23487513</v>
      </c>
      <c r="AN36" s="343">
        <f t="shared" si="71"/>
        <v>17423971</v>
      </c>
      <c r="AO36" s="343">
        <f t="shared" si="71"/>
        <v>0</v>
      </c>
      <c r="AP36" s="343">
        <f t="shared" si="71"/>
        <v>5889302</v>
      </c>
      <c r="AQ36" s="343">
        <f t="shared" si="71"/>
        <v>174240</v>
      </c>
      <c r="AR36" s="343">
        <f t="shared" si="71"/>
        <v>0</v>
      </c>
      <c r="AS36" s="344">
        <f t="shared" si="71"/>
        <v>32.25</v>
      </c>
    </row>
    <row r="37" spans="1:45" s="152" customFormat="1" x14ac:dyDescent="0.2">
      <c r="A37" s="140">
        <v>9</v>
      </c>
      <c r="B37" s="141">
        <v>4439</v>
      </c>
      <c r="C37" s="141">
        <v>600074951</v>
      </c>
      <c r="D37" s="141">
        <v>48283088</v>
      </c>
      <c r="E37" s="139" t="s">
        <v>156</v>
      </c>
      <c r="F37" s="141">
        <v>3111</v>
      </c>
      <c r="G37" s="117" t="s">
        <v>277</v>
      </c>
      <c r="H37" s="560" t="s">
        <v>262</v>
      </c>
      <c r="I37" s="580">
        <v>4775913</v>
      </c>
      <c r="J37" s="490">
        <v>3542962</v>
      </c>
      <c r="K37" s="490">
        <v>0</v>
      </c>
      <c r="L37" s="55">
        <v>1197521</v>
      </c>
      <c r="M37" s="55">
        <v>35430</v>
      </c>
      <c r="N37" s="55">
        <v>0</v>
      </c>
      <c r="O37" s="614">
        <v>6</v>
      </c>
      <c r="P37" s="445">
        <f t="shared" ref="P37:P40" si="72">W37*-1</f>
        <v>0</v>
      </c>
      <c r="Q37" s="325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 t="shared" ref="V37:V40" si="73">P37+Q37+R37+S37+T37+U37</f>
        <v>0</v>
      </c>
      <c r="W37" s="325">
        <v>0</v>
      </c>
      <c r="X37" s="325">
        <v>0</v>
      </c>
      <c r="Y37" s="325">
        <v>0</v>
      </c>
      <c r="Z37" s="492">
        <f t="shared" ref="Z37:Z40" si="74">W37+X37+Y37</f>
        <v>0</v>
      </c>
      <c r="AA37" s="492">
        <f t="shared" ref="AA37:AA40" si="75">V37+Z37</f>
        <v>0</v>
      </c>
      <c r="AB37" s="494">
        <f t="shared" ref="AB37:AB40" si="76">ROUND((V37+Z37)*33.8%,0)</f>
        <v>0</v>
      </c>
      <c r="AC37" s="494">
        <f t="shared" ref="AC37:AC40" si="77">ROUND(V37*1%,0)</f>
        <v>0</v>
      </c>
      <c r="AD37" s="492">
        <v>0</v>
      </c>
      <c r="AE37" s="753">
        <f t="shared" ref="AE37:AE40" si="78">AA37+AB37+AC37+AD37</f>
        <v>0</v>
      </c>
      <c r="AF37" s="688">
        <v>0</v>
      </c>
      <c r="AG37" s="326">
        <v>0</v>
      </c>
      <c r="AH37" s="326">
        <v>0</v>
      </c>
      <c r="AI37" s="326">
        <v>0</v>
      </c>
      <c r="AJ37" s="326">
        <v>0</v>
      </c>
      <c r="AK37" s="326">
        <v>0</v>
      </c>
      <c r="AL37" s="609">
        <f t="shared" ref="AL37:AL40" si="79">SUM(AF37:AK37)</f>
        <v>0</v>
      </c>
      <c r="AM37" s="493">
        <f>I37+AE37</f>
        <v>4775913</v>
      </c>
      <c r="AN37" s="492">
        <f>J37+V37</f>
        <v>3542962</v>
      </c>
      <c r="AO37" s="573">
        <f t="shared" ref="AO37:AO40" si="80">K37+Z37</f>
        <v>0</v>
      </c>
      <c r="AP37" s="492">
        <f t="shared" ref="AP37:AQ40" si="81">L37+AB37</f>
        <v>1197521</v>
      </c>
      <c r="AQ37" s="492">
        <f t="shared" si="81"/>
        <v>35430</v>
      </c>
      <c r="AR37" s="492">
        <v>0</v>
      </c>
      <c r="AS37" s="491">
        <f t="shared" ref="AS37:AS40" si="82">O37+AL37</f>
        <v>6</v>
      </c>
    </row>
    <row r="38" spans="1:45" s="152" customFormat="1" x14ac:dyDescent="0.2">
      <c r="A38" s="140">
        <v>9</v>
      </c>
      <c r="B38" s="141">
        <v>4439</v>
      </c>
      <c r="C38" s="141">
        <v>600074951</v>
      </c>
      <c r="D38" s="141">
        <v>48283088</v>
      </c>
      <c r="E38" s="139" t="s">
        <v>156</v>
      </c>
      <c r="F38" s="141">
        <v>3113</v>
      </c>
      <c r="G38" s="117" t="s">
        <v>280</v>
      </c>
      <c r="H38" s="560" t="s">
        <v>262</v>
      </c>
      <c r="I38" s="580">
        <v>23406077</v>
      </c>
      <c r="J38" s="490">
        <v>17351648</v>
      </c>
      <c r="K38" s="490">
        <v>12000</v>
      </c>
      <c r="L38" s="55">
        <v>5868913</v>
      </c>
      <c r="M38" s="55">
        <v>173516</v>
      </c>
      <c r="N38" s="55">
        <v>0</v>
      </c>
      <c r="O38" s="614">
        <v>25.34</v>
      </c>
      <c r="P38" s="440">
        <f t="shared" si="72"/>
        <v>-8000</v>
      </c>
      <c r="Q38" s="325">
        <v>0</v>
      </c>
      <c r="R38" s="325">
        <v>0</v>
      </c>
      <c r="S38" s="325">
        <v>0</v>
      </c>
      <c r="T38" s="325">
        <v>0</v>
      </c>
      <c r="U38" s="325">
        <v>0</v>
      </c>
      <c r="V38" s="492">
        <f t="shared" si="73"/>
        <v>-8000</v>
      </c>
      <c r="W38" s="325">
        <v>8000</v>
      </c>
      <c r="X38" s="325">
        <v>0</v>
      </c>
      <c r="Y38" s="325">
        <v>0</v>
      </c>
      <c r="Z38" s="492">
        <f t="shared" si="74"/>
        <v>8000</v>
      </c>
      <c r="AA38" s="492">
        <f t="shared" si="75"/>
        <v>0</v>
      </c>
      <c r="AB38" s="494">
        <f t="shared" si="76"/>
        <v>0</v>
      </c>
      <c r="AC38" s="494">
        <f t="shared" si="77"/>
        <v>-80</v>
      </c>
      <c r="AD38" s="492">
        <v>0</v>
      </c>
      <c r="AE38" s="753">
        <f t="shared" si="78"/>
        <v>-80</v>
      </c>
      <c r="AF38" s="688">
        <v>-0.01</v>
      </c>
      <c r="AG38" s="326">
        <v>0</v>
      </c>
      <c r="AH38" s="326">
        <v>0</v>
      </c>
      <c r="AI38" s="326">
        <v>0</v>
      </c>
      <c r="AJ38" s="326">
        <v>0</v>
      </c>
      <c r="AK38" s="326">
        <v>0</v>
      </c>
      <c r="AL38" s="609">
        <f t="shared" si="79"/>
        <v>-0.01</v>
      </c>
      <c r="AM38" s="493">
        <f>I38+AE38</f>
        <v>23405997</v>
      </c>
      <c r="AN38" s="492">
        <f>J38+V38</f>
        <v>17343648</v>
      </c>
      <c r="AO38" s="573">
        <f t="shared" si="80"/>
        <v>20000</v>
      </c>
      <c r="AP38" s="492">
        <f t="shared" si="81"/>
        <v>5868913</v>
      </c>
      <c r="AQ38" s="492">
        <f t="shared" si="81"/>
        <v>173436</v>
      </c>
      <c r="AR38" s="492">
        <v>0</v>
      </c>
      <c r="AS38" s="491">
        <f t="shared" si="82"/>
        <v>25.33</v>
      </c>
    </row>
    <row r="39" spans="1:45" s="152" customFormat="1" x14ac:dyDescent="0.2">
      <c r="A39" s="140">
        <v>9</v>
      </c>
      <c r="B39" s="141">
        <v>4439</v>
      </c>
      <c r="C39" s="141">
        <v>600074951</v>
      </c>
      <c r="D39" s="141">
        <v>48283088</v>
      </c>
      <c r="E39" s="139" t="s">
        <v>156</v>
      </c>
      <c r="F39" s="141">
        <v>3113</v>
      </c>
      <c r="G39" s="117" t="s">
        <v>278</v>
      </c>
      <c r="H39" s="560" t="s">
        <v>263</v>
      </c>
      <c r="I39" s="580">
        <v>4315634</v>
      </c>
      <c r="J39" s="490">
        <v>3201509</v>
      </c>
      <c r="K39" s="490">
        <v>0</v>
      </c>
      <c r="L39" s="55">
        <v>1082110</v>
      </c>
      <c r="M39" s="55">
        <v>32015</v>
      </c>
      <c r="N39" s="55">
        <v>0</v>
      </c>
      <c r="O39" s="614">
        <v>8.1999999999999993</v>
      </c>
      <c r="P39" s="440">
        <f t="shared" si="72"/>
        <v>0</v>
      </c>
      <c r="Q39" s="325">
        <v>190160</v>
      </c>
      <c r="R39" s="325">
        <v>0</v>
      </c>
      <c r="S39" s="325">
        <v>0</v>
      </c>
      <c r="T39" s="325">
        <v>0</v>
      </c>
      <c r="U39" s="325">
        <v>0</v>
      </c>
      <c r="V39" s="492">
        <f t="shared" si="73"/>
        <v>190160</v>
      </c>
      <c r="W39" s="325">
        <v>0</v>
      </c>
      <c r="X39" s="325">
        <v>0</v>
      </c>
      <c r="Y39" s="325">
        <v>0</v>
      </c>
      <c r="Z39" s="492">
        <f t="shared" si="74"/>
        <v>0</v>
      </c>
      <c r="AA39" s="492">
        <f t="shared" si="75"/>
        <v>190160</v>
      </c>
      <c r="AB39" s="494">
        <f t="shared" si="76"/>
        <v>64274</v>
      </c>
      <c r="AC39" s="494">
        <f t="shared" si="77"/>
        <v>1902</v>
      </c>
      <c r="AD39" s="492">
        <v>0</v>
      </c>
      <c r="AE39" s="753">
        <f t="shared" si="78"/>
        <v>256336</v>
      </c>
      <c r="AF39" s="688">
        <v>0</v>
      </c>
      <c r="AG39" s="326">
        <v>0.48</v>
      </c>
      <c r="AH39" s="326">
        <v>0</v>
      </c>
      <c r="AI39" s="326">
        <v>0</v>
      </c>
      <c r="AJ39" s="326">
        <v>0</v>
      </c>
      <c r="AK39" s="326">
        <v>0</v>
      </c>
      <c r="AL39" s="609">
        <f t="shared" si="79"/>
        <v>0.48</v>
      </c>
      <c r="AM39" s="493">
        <f>I39+AE39</f>
        <v>4571970</v>
      </c>
      <c r="AN39" s="492">
        <f>J39+V39</f>
        <v>3391669</v>
      </c>
      <c r="AO39" s="573">
        <f t="shared" si="80"/>
        <v>0</v>
      </c>
      <c r="AP39" s="492">
        <f t="shared" si="81"/>
        <v>1146384</v>
      </c>
      <c r="AQ39" s="492">
        <f t="shared" si="81"/>
        <v>33917</v>
      </c>
      <c r="AR39" s="492">
        <v>0</v>
      </c>
      <c r="AS39" s="491">
        <f t="shared" si="82"/>
        <v>8.68</v>
      </c>
    </row>
    <row r="40" spans="1:45" s="152" customFormat="1" x14ac:dyDescent="0.2">
      <c r="A40" s="140">
        <v>9</v>
      </c>
      <c r="B40" s="141">
        <v>4439</v>
      </c>
      <c r="C40" s="141">
        <v>600074951</v>
      </c>
      <c r="D40" s="141">
        <v>48283088</v>
      </c>
      <c r="E40" s="139" t="s">
        <v>156</v>
      </c>
      <c r="F40" s="141">
        <v>3143</v>
      </c>
      <c r="G40" s="117" t="s">
        <v>794</v>
      </c>
      <c r="H40" s="157" t="s">
        <v>262</v>
      </c>
      <c r="I40" s="580">
        <v>2653793</v>
      </c>
      <c r="J40" s="490">
        <v>1968689</v>
      </c>
      <c r="K40" s="490">
        <v>0</v>
      </c>
      <c r="L40" s="55">
        <v>665417</v>
      </c>
      <c r="M40" s="55">
        <v>19687</v>
      </c>
      <c r="N40" s="55">
        <v>0</v>
      </c>
      <c r="O40" s="614">
        <v>3.68</v>
      </c>
      <c r="P40" s="440">
        <f t="shared" si="72"/>
        <v>0</v>
      </c>
      <c r="Q40" s="325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 t="shared" si="73"/>
        <v>0</v>
      </c>
      <c r="W40" s="325">
        <v>0</v>
      </c>
      <c r="X40" s="325">
        <v>0</v>
      </c>
      <c r="Y40" s="325">
        <v>0</v>
      </c>
      <c r="Z40" s="492">
        <f t="shared" si="74"/>
        <v>0</v>
      </c>
      <c r="AA40" s="492">
        <f t="shared" si="75"/>
        <v>0</v>
      </c>
      <c r="AB40" s="494">
        <f t="shared" si="76"/>
        <v>0</v>
      </c>
      <c r="AC40" s="494">
        <f t="shared" si="77"/>
        <v>0</v>
      </c>
      <c r="AD40" s="492">
        <v>0</v>
      </c>
      <c r="AE40" s="753">
        <f t="shared" si="78"/>
        <v>0</v>
      </c>
      <c r="AF40" s="688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609">
        <f t="shared" si="79"/>
        <v>0</v>
      </c>
      <c r="AM40" s="493">
        <f>I40+AE40</f>
        <v>2653793</v>
      </c>
      <c r="AN40" s="492">
        <f>J40+V40</f>
        <v>1968689</v>
      </c>
      <c r="AO40" s="573">
        <f t="shared" si="80"/>
        <v>0</v>
      </c>
      <c r="AP40" s="492">
        <f t="shared" si="81"/>
        <v>665417</v>
      </c>
      <c r="AQ40" s="492">
        <f t="shared" si="81"/>
        <v>19687</v>
      </c>
      <c r="AR40" s="492">
        <v>0</v>
      </c>
      <c r="AS40" s="491">
        <f t="shared" si="82"/>
        <v>3.68</v>
      </c>
    </row>
    <row r="41" spans="1:45" s="152" customFormat="1" x14ac:dyDescent="0.2">
      <c r="A41" s="107">
        <v>9</v>
      </c>
      <c r="B41" s="15">
        <v>4439</v>
      </c>
      <c r="C41" s="15">
        <v>600074951</v>
      </c>
      <c r="D41" s="15">
        <v>48283088</v>
      </c>
      <c r="E41" s="116" t="s">
        <v>157</v>
      </c>
      <c r="F41" s="15"/>
      <c r="G41" s="106"/>
      <c r="H41" s="555"/>
      <c r="I41" s="758">
        <v>35151417</v>
      </c>
      <c r="J41" s="343">
        <v>26064808</v>
      </c>
      <c r="K41" s="343">
        <v>12000</v>
      </c>
      <c r="L41" s="343">
        <v>8813961</v>
      </c>
      <c r="M41" s="343">
        <v>260648</v>
      </c>
      <c r="N41" s="343">
        <v>0</v>
      </c>
      <c r="O41" s="35">
        <v>43.22</v>
      </c>
      <c r="P41" s="346">
        <f t="shared" ref="P41:AS41" si="83">SUM(P37:P40)</f>
        <v>-8000</v>
      </c>
      <c r="Q41" s="343">
        <f t="shared" si="83"/>
        <v>190160</v>
      </c>
      <c r="R41" s="343">
        <f t="shared" si="83"/>
        <v>0</v>
      </c>
      <c r="S41" s="343">
        <f t="shared" si="83"/>
        <v>0</v>
      </c>
      <c r="T41" s="343">
        <f t="shared" si="83"/>
        <v>0</v>
      </c>
      <c r="U41" s="343">
        <f t="shared" si="83"/>
        <v>0</v>
      </c>
      <c r="V41" s="343">
        <f t="shared" si="83"/>
        <v>182160</v>
      </c>
      <c r="W41" s="343">
        <f t="shared" si="83"/>
        <v>8000</v>
      </c>
      <c r="X41" s="343">
        <f t="shared" si="83"/>
        <v>0</v>
      </c>
      <c r="Y41" s="343">
        <f t="shared" si="83"/>
        <v>0</v>
      </c>
      <c r="Z41" s="343">
        <f t="shared" si="83"/>
        <v>8000</v>
      </c>
      <c r="AA41" s="343">
        <f t="shared" si="83"/>
        <v>190160</v>
      </c>
      <c r="AB41" s="343">
        <f t="shared" si="83"/>
        <v>64274</v>
      </c>
      <c r="AC41" s="343">
        <f t="shared" si="83"/>
        <v>1822</v>
      </c>
      <c r="AD41" s="343">
        <f t="shared" si="83"/>
        <v>0</v>
      </c>
      <c r="AE41" s="763">
        <f t="shared" si="83"/>
        <v>256256</v>
      </c>
      <c r="AF41" s="767">
        <f t="shared" si="83"/>
        <v>-0.01</v>
      </c>
      <c r="AG41" s="344">
        <f t="shared" si="83"/>
        <v>0.48</v>
      </c>
      <c r="AH41" s="344">
        <f t="shared" si="83"/>
        <v>0</v>
      </c>
      <c r="AI41" s="344">
        <f t="shared" si="83"/>
        <v>0</v>
      </c>
      <c r="AJ41" s="344">
        <f t="shared" si="83"/>
        <v>0</v>
      </c>
      <c r="AK41" s="344">
        <f t="shared" si="83"/>
        <v>0</v>
      </c>
      <c r="AL41" s="35">
        <f t="shared" si="83"/>
        <v>0.47</v>
      </c>
      <c r="AM41" s="346">
        <f t="shared" si="83"/>
        <v>35407673</v>
      </c>
      <c r="AN41" s="343">
        <f t="shared" si="83"/>
        <v>26246968</v>
      </c>
      <c r="AO41" s="343">
        <f t="shared" si="83"/>
        <v>20000</v>
      </c>
      <c r="AP41" s="343">
        <f t="shared" si="83"/>
        <v>8878235</v>
      </c>
      <c r="AQ41" s="343">
        <f t="shared" si="83"/>
        <v>262470</v>
      </c>
      <c r="AR41" s="343">
        <f t="shared" si="83"/>
        <v>0</v>
      </c>
      <c r="AS41" s="344">
        <f t="shared" si="83"/>
        <v>43.69</v>
      </c>
    </row>
    <row r="42" spans="1:45" s="152" customFormat="1" x14ac:dyDescent="0.2">
      <c r="A42" s="140">
        <v>10</v>
      </c>
      <c r="B42" s="141">
        <v>4443</v>
      </c>
      <c r="C42" s="141">
        <v>600074994</v>
      </c>
      <c r="D42" s="141">
        <v>46750045</v>
      </c>
      <c r="E42" s="139" t="s">
        <v>158</v>
      </c>
      <c r="F42" s="141">
        <v>3113</v>
      </c>
      <c r="G42" s="117" t="s">
        <v>280</v>
      </c>
      <c r="H42" s="560" t="s">
        <v>262</v>
      </c>
      <c r="I42" s="580">
        <v>55741736</v>
      </c>
      <c r="J42" s="490">
        <v>41209894</v>
      </c>
      <c r="K42" s="490">
        <v>142600</v>
      </c>
      <c r="L42" s="55">
        <v>13977143</v>
      </c>
      <c r="M42" s="55">
        <v>412099</v>
      </c>
      <c r="N42" s="55">
        <v>0</v>
      </c>
      <c r="O42" s="614">
        <v>55.75</v>
      </c>
      <c r="P42" s="445">
        <f>W42*-1</f>
        <v>-58000</v>
      </c>
      <c r="Q42" s="325">
        <v>0</v>
      </c>
      <c r="R42" s="325">
        <v>0</v>
      </c>
      <c r="S42" s="325">
        <v>0</v>
      </c>
      <c r="T42" s="325">
        <v>0</v>
      </c>
      <c r="U42" s="325">
        <v>0</v>
      </c>
      <c r="V42" s="492">
        <f t="shared" ref="V42:V46" si="84">P42+Q42+R42+S42+T42+U42</f>
        <v>-58000</v>
      </c>
      <c r="W42" s="325">
        <v>58000</v>
      </c>
      <c r="X42" s="325">
        <v>0</v>
      </c>
      <c r="Y42" s="325">
        <v>0</v>
      </c>
      <c r="Z42" s="492">
        <f t="shared" ref="Z42:Z46" si="85">W42+X42+Y42</f>
        <v>58000</v>
      </c>
      <c r="AA42" s="492">
        <f t="shared" ref="AA42:AA46" si="86">V42+Z42</f>
        <v>0</v>
      </c>
      <c r="AB42" s="494">
        <f t="shared" ref="AB42:AB46" si="87">ROUND((V42+Z42)*33.8%,0)</f>
        <v>0</v>
      </c>
      <c r="AC42" s="494">
        <f t="shared" ref="AC42:AC46" si="88">ROUND(V42*1%,0)</f>
        <v>-580</v>
      </c>
      <c r="AD42" s="492">
        <v>0</v>
      </c>
      <c r="AE42" s="753">
        <f t="shared" ref="AE42:AE46" si="89">AA42+AB42+AC42+AD42</f>
        <v>-580</v>
      </c>
      <c r="AF42" s="688">
        <v>-0.08</v>
      </c>
      <c r="AG42" s="326">
        <v>0</v>
      </c>
      <c r="AH42" s="326">
        <v>0</v>
      </c>
      <c r="AI42" s="326">
        <v>0</v>
      </c>
      <c r="AJ42" s="326">
        <v>0</v>
      </c>
      <c r="AK42" s="326">
        <v>0</v>
      </c>
      <c r="AL42" s="609">
        <f t="shared" ref="AL42:AL46" si="90">SUM(AF42:AK42)</f>
        <v>-0.08</v>
      </c>
      <c r="AM42" s="493">
        <f>I42+AE42</f>
        <v>55741156</v>
      </c>
      <c r="AN42" s="492">
        <f>J42+V42</f>
        <v>41151894</v>
      </c>
      <c r="AO42" s="573">
        <f t="shared" ref="AO42:AO46" si="91">K42+Z42</f>
        <v>200600</v>
      </c>
      <c r="AP42" s="492">
        <f t="shared" ref="AP42:AQ46" si="92">L42+AB42</f>
        <v>13977143</v>
      </c>
      <c r="AQ42" s="492">
        <f t="shared" si="92"/>
        <v>411519</v>
      </c>
      <c r="AR42" s="492">
        <v>0</v>
      </c>
      <c r="AS42" s="491">
        <f t="shared" ref="AS42:AS46" si="93">O42+AL42</f>
        <v>55.67</v>
      </c>
    </row>
    <row r="43" spans="1:45" s="152" customFormat="1" x14ac:dyDescent="0.2">
      <c r="A43" s="140">
        <v>10</v>
      </c>
      <c r="B43" s="141">
        <v>4443</v>
      </c>
      <c r="C43" s="141">
        <v>600074994</v>
      </c>
      <c r="D43" s="141">
        <v>46750045</v>
      </c>
      <c r="E43" s="139" t="s">
        <v>158</v>
      </c>
      <c r="F43" s="141">
        <v>3113</v>
      </c>
      <c r="G43" s="117" t="s">
        <v>799</v>
      </c>
      <c r="H43" s="560" t="s">
        <v>262</v>
      </c>
      <c r="I43" s="580">
        <v>538586</v>
      </c>
      <c r="J43" s="490">
        <v>399545</v>
      </c>
      <c r="K43" s="490">
        <v>0</v>
      </c>
      <c r="L43" s="55">
        <v>135046</v>
      </c>
      <c r="M43" s="55">
        <v>3995</v>
      </c>
      <c r="N43" s="55">
        <v>0</v>
      </c>
      <c r="O43" s="614">
        <v>0.71</v>
      </c>
      <c r="P43" s="445">
        <f>W43*-1</f>
        <v>0</v>
      </c>
      <c r="Q43" s="325">
        <v>0</v>
      </c>
      <c r="R43" s="325">
        <v>0</v>
      </c>
      <c r="S43" s="325">
        <v>0</v>
      </c>
      <c r="T43" s="325">
        <v>0</v>
      </c>
      <c r="U43" s="325">
        <v>0</v>
      </c>
      <c r="V43" s="492">
        <f t="shared" si="84"/>
        <v>0</v>
      </c>
      <c r="W43" s="325">
        <v>0</v>
      </c>
      <c r="X43" s="325">
        <v>0</v>
      </c>
      <c r="Y43" s="325">
        <v>0</v>
      </c>
      <c r="Z43" s="492">
        <f t="shared" si="85"/>
        <v>0</v>
      </c>
      <c r="AA43" s="492">
        <f t="shared" si="86"/>
        <v>0</v>
      </c>
      <c r="AB43" s="494">
        <f t="shared" si="87"/>
        <v>0</v>
      </c>
      <c r="AC43" s="494">
        <f t="shared" si="88"/>
        <v>0</v>
      </c>
      <c r="AD43" s="492">
        <v>0</v>
      </c>
      <c r="AE43" s="753">
        <f t="shared" si="89"/>
        <v>0</v>
      </c>
      <c r="AF43" s="688">
        <v>0</v>
      </c>
      <c r="AG43" s="326">
        <v>0</v>
      </c>
      <c r="AH43" s="326">
        <v>0</v>
      </c>
      <c r="AI43" s="326">
        <v>0</v>
      </c>
      <c r="AJ43" s="326">
        <v>0</v>
      </c>
      <c r="AK43" s="326">
        <v>0</v>
      </c>
      <c r="AL43" s="609">
        <f t="shared" si="90"/>
        <v>0</v>
      </c>
      <c r="AM43" s="493">
        <f>I43+AE43</f>
        <v>538586</v>
      </c>
      <c r="AN43" s="492">
        <f>J43+V43</f>
        <v>399545</v>
      </c>
      <c r="AO43" s="573">
        <f t="shared" si="91"/>
        <v>0</v>
      </c>
      <c r="AP43" s="492">
        <f t="shared" si="92"/>
        <v>135046</v>
      </c>
      <c r="AQ43" s="492">
        <f t="shared" si="92"/>
        <v>3995</v>
      </c>
      <c r="AR43" s="492">
        <v>0</v>
      </c>
      <c r="AS43" s="491">
        <f t="shared" si="93"/>
        <v>0.71</v>
      </c>
    </row>
    <row r="44" spans="1:45" s="152" customFormat="1" x14ac:dyDescent="0.2">
      <c r="A44" s="140">
        <v>10</v>
      </c>
      <c r="B44" s="141">
        <v>4443</v>
      </c>
      <c r="C44" s="141">
        <v>600074994</v>
      </c>
      <c r="D44" s="141">
        <v>46750045</v>
      </c>
      <c r="E44" s="139" t="s">
        <v>158</v>
      </c>
      <c r="F44" s="141">
        <v>3113</v>
      </c>
      <c r="G44" s="117" t="s">
        <v>278</v>
      </c>
      <c r="H44" s="560" t="s">
        <v>263</v>
      </c>
      <c r="I44" s="580">
        <v>9348468</v>
      </c>
      <c r="J44" s="490">
        <v>6935065</v>
      </c>
      <c r="K44" s="490">
        <v>0</v>
      </c>
      <c r="L44" s="55">
        <v>2344052</v>
      </c>
      <c r="M44" s="55">
        <v>69351</v>
      </c>
      <c r="N44" s="55">
        <v>0</v>
      </c>
      <c r="O44" s="614">
        <v>17.41</v>
      </c>
      <c r="P44" s="440">
        <f>W44*-1</f>
        <v>0</v>
      </c>
      <c r="Q44" s="325">
        <f>450125</f>
        <v>450125</v>
      </c>
      <c r="R44" s="325">
        <v>0</v>
      </c>
      <c r="S44" s="325">
        <v>0</v>
      </c>
      <c r="T44" s="325">
        <v>0</v>
      </c>
      <c r="U44" s="325">
        <v>0</v>
      </c>
      <c r="V44" s="492">
        <f t="shared" si="84"/>
        <v>450125</v>
      </c>
      <c r="W44" s="325">
        <v>0</v>
      </c>
      <c r="X44" s="325">
        <v>0</v>
      </c>
      <c r="Y44" s="325">
        <v>0</v>
      </c>
      <c r="Z44" s="492">
        <f t="shared" si="85"/>
        <v>0</v>
      </c>
      <c r="AA44" s="492">
        <f t="shared" si="86"/>
        <v>450125</v>
      </c>
      <c r="AB44" s="494">
        <f t="shared" si="87"/>
        <v>152142</v>
      </c>
      <c r="AC44" s="494">
        <f t="shared" si="88"/>
        <v>4501</v>
      </c>
      <c r="AD44" s="492">
        <v>0</v>
      </c>
      <c r="AE44" s="753">
        <f t="shared" si="89"/>
        <v>606768</v>
      </c>
      <c r="AF44" s="688">
        <v>0</v>
      </c>
      <c r="AG44" s="326">
        <f>1.14</f>
        <v>1.1399999999999999</v>
      </c>
      <c r="AH44" s="326">
        <v>0</v>
      </c>
      <c r="AI44" s="326">
        <v>0</v>
      </c>
      <c r="AJ44" s="326">
        <v>0</v>
      </c>
      <c r="AK44" s="326">
        <v>0</v>
      </c>
      <c r="AL44" s="609">
        <f t="shared" si="90"/>
        <v>1.1399999999999999</v>
      </c>
      <c r="AM44" s="493">
        <f>I44+AE44</f>
        <v>9955236</v>
      </c>
      <c r="AN44" s="492">
        <f>J44+V44</f>
        <v>7385190</v>
      </c>
      <c r="AO44" s="573">
        <f t="shared" si="91"/>
        <v>0</v>
      </c>
      <c r="AP44" s="492">
        <f t="shared" si="92"/>
        <v>2496194</v>
      </c>
      <c r="AQ44" s="492">
        <f t="shared" si="92"/>
        <v>73852</v>
      </c>
      <c r="AR44" s="492">
        <v>0</v>
      </c>
      <c r="AS44" s="491">
        <f t="shared" si="93"/>
        <v>18.55</v>
      </c>
    </row>
    <row r="45" spans="1:45" s="152" customFormat="1" x14ac:dyDescent="0.2">
      <c r="A45" s="140">
        <v>10</v>
      </c>
      <c r="B45" s="141">
        <v>4443</v>
      </c>
      <c r="C45" s="141">
        <v>600074994</v>
      </c>
      <c r="D45" s="141">
        <v>46750045</v>
      </c>
      <c r="E45" s="139" t="s">
        <v>158</v>
      </c>
      <c r="F45" s="141">
        <v>3143</v>
      </c>
      <c r="G45" s="117" t="s">
        <v>794</v>
      </c>
      <c r="H45" s="157" t="s">
        <v>262</v>
      </c>
      <c r="I45" s="580">
        <v>5342710</v>
      </c>
      <c r="J45" s="490">
        <v>3960457</v>
      </c>
      <c r="K45" s="490">
        <v>3000</v>
      </c>
      <c r="L45" s="55">
        <v>1339648</v>
      </c>
      <c r="M45" s="55">
        <v>39605</v>
      </c>
      <c r="N45" s="55">
        <v>0</v>
      </c>
      <c r="O45" s="614">
        <v>7.21</v>
      </c>
      <c r="P45" s="440">
        <f>W45*-1</f>
        <v>-2000</v>
      </c>
      <c r="Q45" s="325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 t="shared" si="84"/>
        <v>-2000</v>
      </c>
      <c r="W45" s="325">
        <v>2000</v>
      </c>
      <c r="X45" s="325">
        <v>0</v>
      </c>
      <c r="Y45" s="325">
        <v>0</v>
      </c>
      <c r="Z45" s="492">
        <f t="shared" si="85"/>
        <v>2000</v>
      </c>
      <c r="AA45" s="492">
        <f t="shared" si="86"/>
        <v>0</v>
      </c>
      <c r="AB45" s="494">
        <f t="shared" si="87"/>
        <v>0</v>
      </c>
      <c r="AC45" s="494">
        <f t="shared" si="88"/>
        <v>-20</v>
      </c>
      <c r="AD45" s="492">
        <v>0</v>
      </c>
      <c r="AE45" s="753">
        <f t="shared" si="89"/>
        <v>-20</v>
      </c>
      <c r="AF45" s="688">
        <v>0</v>
      </c>
      <c r="AG45" s="326">
        <v>0</v>
      </c>
      <c r="AH45" s="326">
        <v>0</v>
      </c>
      <c r="AI45" s="326">
        <v>0</v>
      </c>
      <c r="AJ45" s="326">
        <v>0</v>
      </c>
      <c r="AK45" s="326">
        <v>0</v>
      </c>
      <c r="AL45" s="609">
        <f t="shared" si="90"/>
        <v>0</v>
      </c>
      <c r="AM45" s="493">
        <f>I45+AE45</f>
        <v>5342690</v>
      </c>
      <c r="AN45" s="492">
        <f>J45+V45</f>
        <v>3958457</v>
      </c>
      <c r="AO45" s="573">
        <f t="shared" si="91"/>
        <v>5000</v>
      </c>
      <c r="AP45" s="492">
        <f t="shared" si="92"/>
        <v>1339648</v>
      </c>
      <c r="AQ45" s="492">
        <f t="shared" si="92"/>
        <v>39585</v>
      </c>
      <c r="AR45" s="492">
        <v>0</v>
      </c>
      <c r="AS45" s="491">
        <f t="shared" si="93"/>
        <v>7.21</v>
      </c>
    </row>
    <row r="46" spans="1:45" s="152" customFormat="1" x14ac:dyDescent="0.2">
      <c r="A46" s="140">
        <v>10</v>
      </c>
      <c r="B46" s="141">
        <v>4443</v>
      </c>
      <c r="C46" s="141">
        <v>600074994</v>
      </c>
      <c r="D46" s="141">
        <v>46750045</v>
      </c>
      <c r="E46" s="139" t="s">
        <v>158</v>
      </c>
      <c r="F46" s="141">
        <v>3143</v>
      </c>
      <c r="G46" s="117" t="s">
        <v>282</v>
      </c>
      <c r="H46" s="157" t="s">
        <v>263</v>
      </c>
      <c r="I46" s="580">
        <v>362226</v>
      </c>
      <c r="J46" s="490">
        <v>268714</v>
      </c>
      <c r="K46" s="490">
        <v>0</v>
      </c>
      <c r="L46" s="55">
        <v>90825</v>
      </c>
      <c r="M46" s="55">
        <v>2687</v>
      </c>
      <c r="N46" s="55">
        <v>0</v>
      </c>
      <c r="O46" s="614">
        <v>0.5</v>
      </c>
      <c r="P46" s="440">
        <f>W46*-1</f>
        <v>0</v>
      </c>
      <c r="Q46" s="325">
        <v>0</v>
      </c>
      <c r="R46" s="325">
        <v>0</v>
      </c>
      <c r="S46" s="325">
        <v>0</v>
      </c>
      <c r="T46" s="325">
        <v>0</v>
      </c>
      <c r="U46" s="325">
        <v>0</v>
      </c>
      <c r="V46" s="492">
        <f t="shared" si="84"/>
        <v>0</v>
      </c>
      <c r="W46" s="325">
        <v>0</v>
      </c>
      <c r="X46" s="325">
        <v>0</v>
      </c>
      <c r="Y46" s="325">
        <v>0</v>
      </c>
      <c r="Z46" s="492">
        <f t="shared" si="85"/>
        <v>0</v>
      </c>
      <c r="AA46" s="492">
        <f t="shared" si="86"/>
        <v>0</v>
      </c>
      <c r="AB46" s="494">
        <f t="shared" si="87"/>
        <v>0</v>
      </c>
      <c r="AC46" s="494">
        <f t="shared" si="88"/>
        <v>0</v>
      </c>
      <c r="AD46" s="492">
        <v>0</v>
      </c>
      <c r="AE46" s="753">
        <f t="shared" si="89"/>
        <v>0</v>
      </c>
      <c r="AF46" s="688">
        <v>0</v>
      </c>
      <c r="AG46" s="326">
        <v>0</v>
      </c>
      <c r="AH46" s="326">
        <v>0</v>
      </c>
      <c r="AI46" s="326">
        <v>0</v>
      </c>
      <c r="AJ46" s="326">
        <v>0</v>
      </c>
      <c r="AK46" s="326">
        <v>0</v>
      </c>
      <c r="AL46" s="609">
        <f t="shared" si="90"/>
        <v>0</v>
      </c>
      <c r="AM46" s="493">
        <f>I46+AE46</f>
        <v>362226</v>
      </c>
      <c r="AN46" s="492">
        <f>J46+V46</f>
        <v>268714</v>
      </c>
      <c r="AO46" s="573">
        <f t="shared" si="91"/>
        <v>0</v>
      </c>
      <c r="AP46" s="492">
        <f t="shared" si="92"/>
        <v>90825</v>
      </c>
      <c r="AQ46" s="492">
        <f t="shared" si="92"/>
        <v>2687</v>
      </c>
      <c r="AR46" s="492">
        <v>0</v>
      </c>
      <c r="AS46" s="491">
        <f t="shared" si="93"/>
        <v>0.5</v>
      </c>
    </row>
    <row r="47" spans="1:45" s="152" customFormat="1" x14ac:dyDescent="0.2">
      <c r="A47" s="107">
        <v>10</v>
      </c>
      <c r="B47" s="15">
        <v>4443</v>
      </c>
      <c r="C47" s="15">
        <v>600074994</v>
      </c>
      <c r="D47" s="15">
        <v>46750045</v>
      </c>
      <c r="E47" s="116" t="s">
        <v>159</v>
      </c>
      <c r="F47" s="15"/>
      <c r="G47" s="106"/>
      <c r="H47" s="555"/>
      <c r="I47" s="758">
        <v>71333726</v>
      </c>
      <c r="J47" s="343">
        <v>52773675</v>
      </c>
      <c r="K47" s="343">
        <v>145600</v>
      </c>
      <c r="L47" s="343">
        <v>17886714</v>
      </c>
      <c r="M47" s="343">
        <v>527737</v>
      </c>
      <c r="N47" s="343">
        <v>0</v>
      </c>
      <c r="O47" s="35">
        <v>81.58</v>
      </c>
      <c r="P47" s="346">
        <f t="shared" ref="P47:AS47" si="94">SUM(P42:P46)</f>
        <v>-60000</v>
      </c>
      <c r="Q47" s="343">
        <f t="shared" si="94"/>
        <v>450125</v>
      </c>
      <c r="R47" s="343">
        <f t="shared" si="94"/>
        <v>0</v>
      </c>
      <c r="S47" s="343">
        <f t="shared" si="94"/>
        <v>0</v>
      </c>
      <c r="T47" s="343">
        <f t="shared" si="94"/>
        <v>0</v>
      </c>
      <c r="U47" s="343">
        <f t="shared" si="94"/>
        <v>0</v>
      </c>
      <c r="V47" s="343">
        <f t="shared" si="94"/>
        <v>390125</v>
      </c>
      <c r="W47" s="343">
        <f t="shared" si="94"/>
        <v>60000</v>
      </c>
      <c r="X47" s="343">
        <f t="shared" si="94"/>
        <v>0</v>
      </c>
      <c r="Y47" s="343">
        <f t="shared" si="94"/>
        <v>0</v>
      </c>
      <c r="Z47" s="343">
        <f t="shared" si="94"/>
        <v>60000</v>
      </c>
      <c r="AA47" s="343">
        <f t="shared" si="94"/>
        <v>450125</v>
      </c>
      <c r="AB47" s="343">
        <f t="shared" si="94"/>
        <v>152142</v>
      </c>
      <c r="AC47" s="343">
        <f t="shared" si="94"/>
        <v>3901</v>
      </c>
      <c r="AD47" s="343">
        <f t="shared" si="94"/>
        <v>0</v>
      </c>
      <c r="AE47" s="763">
        <f t="shared" si="94"/>
        <v>606168</v>
      </c>
      <c r="AF47" s="767">
        <f t="shared" si="94"/>
        <v>-0.08</v>
      </c>
      <c r="AG47" s="344">
        <f t="shared" si="94"/>
        <v>1.1399999999999999</v>
      </c>
      <c r="AH47" s="344">
        <f t="shared" si="94"/>
        <v>0</v>
      </c>
      <c r="AI47" s="344">
        <f t="shared" si="94"/>
        <v>0</v>
      </c>
      <c r="AJ47" s="344">
        <f t="shared" si="94"/>
        <v>0</v>
      </c>
      <c r="AK47" s="344">
        <f t="shared" si="94"/>
        <v>0</v>
      </c>
      <c r="AL47" s="35">
        <f t="shared" si="94"/>
        <v>1.0599999999999998</v>
      </c>
      <c r="AM47" s="346">
        <f t="shared" si="94"/>
        <v>71939894</v>
      </c>
      <c r="AN47" s="343">
        <f t="shared" si="94"/>
        <v>53163800</v>
      </c>
      <c r="AO47" s="343">
        <f t="shared" si="94"/>
        <v>205600</v>
      </c>
      <c r="AP47" s="343">
        <f t="shared" si="94"/>
        <v>18038856</v>
      </c>
      <c r="AQ47" s="343">
        <f t="shared" si="94"/>
        <v>531638</v>
      </c>
      <c r="AR47" s="343">
        <f t="shared" si="94"/>
        <v>0</v>
      </c>
      <c r="AS47" s="344">
        <f t="shared" si="94"/>
        <v>82.64</v>
      </c>
    </row>
    <row r="48" spans="1:45" s="152" customFormat="1" x14ac:dyDescent="0.2">
      <c r="A48" s="140">
        <v>11</v>
      </c>
      <c r="B48" s="141">
        <v>4438</v>
      </c>
      <c r="C48" s="141">
        <v>600074871</v>
      </c>
      <c r="D48" s="141">
        <v>49864599</v>
      </c>
      <c r="E48" s="139" t="s">
        <v>160</v>
      </c>
      <c r="F48" s="141">
        <v>3113</v>
      </c>
      <c r="G48" s="117" t="s">
        <v>280</v>
      </c>
      <c r="H48" s="560" t="s">
        <v>262</v>
      </c>
      <c r="I48" s="580">
        <v>39209123</v>
      </c>
      <c r="J48" s="490">
        <v>28932878</v>
      </c>
      <c r="K48" s="490">
        <v>155160</v>
      </c>
      <c r="L48" s="55">
        <v>9831757</v>
      </c>
      <c r="M48" s="55">
        <v>289328</v>
      </c>
      <c r="N48" s="55">
        <v>0</v>
      </c>
      <c r="O48" s="614">
        <v>39.589999999999996</v>
      </c>
      <c r="P48" s="445">
        <f t="shared" ref="P48:P52" si="95">W48*-1</f>
        <v>-47840</v>
      </c>
      <c r="Q48" s="325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 t="shared" ref="V48:V52" si="96">P48+Q48+R48+S48+T48+U48</f>
        <v>-47840</v>
      </c>
      <c r="W48" s="325">
        <v>47840</v>
      </c>
      <c r="X48" s="325">
        <v>0</v>
      </c>
      <c r="Y48" s="325">
        <v>0</v>
      </c>
      <c r="Z48" s="492">
        <f t="shared" ref="Z48:Z52" si="97">W48+X48+Y48</f>
        <v>47840</v>
      </c>
      <c r="AA48" s="492">
        <f t="shared" ref="AA48:AA52" si="98">V48+Z48</f>
        <v>0</v>
      </c>
      <c r="AB48" s="494">
        <f t="shared" ref="AB48:AB52" si="99">ROUND((V48+Z48)*33.8%,0)</f>
        <v>0</v>
      </c>
      <c r="AC48" s="494">
        <f t="shared" ref="AC48:AC52" si="100">ROUND(V48*1%,0)</f>
        <v>-478</v>
      </c>
      <c r="AD48" s="492">
        <v>0</v>
      </c>
      <c r="AE48" s="753">
        <f t="shared" ref="AE48:AE52" si="101">AA48+AB48+AC48+AD48</f>
        <v>-478</v>
      </c>
      <c r="AF48" s="688">
        <v>-7.0000000000000007E-2</v>
      </c>
      <c r="AG48" s="326">
        <v>0</v>
      </c>
      <c r="AH48" s="326">
        <v>0</v>
      </c>
      <c r="AI48" s="326">
        <v>0</v>
      </c>
      <c r="AJ48" s="326">
        <v>0</v>
      </c>
      <c r="AK48" s="326">
        <v>0</v>
      </c>
      <c r="AL48" s="609">
        <f t="shared" ref="AL48:AL52" si="102">SUM(AF48:AK48)</f>
        <v>-7.0000000000000007E-2</v>
      </c>
      <c r="AM48" s="493">
        <f>I48+AE48</f>
        <v>39208645</v>
      </c>
      <c r="AN48" s="492">
        <f>J48+V48</f>
        <v>28885038</v>
      </c>
      <c r="AO48" s="573">
        <f t="shared" ref="AO48:AO52" si="103">K48+Z48</f>
        <v>203000</v>
      </c>
      <c r="AP48" s="492">
        <f t="shared" ref="AP48:AQ52" si="104">L48+AB48</f>
        <v>9831757</v>
      </c>
      <c r="AQ48" s="492">
        <f t="shared" si="104"/>
        <v>288850</v>
      </c>
      <c r="AR48" s="492">
        <v>0</v>
      </c>
      <c r="AS48" s="491">
        <f t="shared" ref="AS48:AS52" si="105">O48+AL48</f>
        <v>39.519999999999996</v>
      </c>
    </row>
    <row r="49" spans="1:45" s="152" customFormat="1" x14ac:dyDescent="0.2">
      <c r="A49" s="140">
        <v>11</v>
      </c>
      <c r="B49" s="141">
        <v>4438</v>
      </c>
      <c r="C49" s="141">
        <v>600074871</v>
      </c>
      <c r="D49" s="141">
        <v>49864599</v>
      </c>
      <c r="E49" s="139" t="s">
        <v>160</v>
      </c>
      <c r="F49" s="141">
        <v>3113</v>
      </c>
      <c r="G49" s="117" t="s">
        <v>799</v>
      </c>
      <c r="H49" s="560" t="s">
        <v>262</v>
      </c>
      <c r="I49" s="580">
        <v>698560</v>
      </c>
      <c r="J49" s="490">
        <v>518220</v>
      </c>
      <c r="K49" s="490">
        <v>0</v>
      </c>
      <c r="L49" s="55">
        <v>175158</v>
      </c>
      <c r="M49" s="55">
        <v>5182</v>
      </c>
      <c r="N49" s="55">
        <v>0</v>
      </c>
      <c r="O49" s="614">
        <v>1</v>
      </c>
      <c r="P49" s="445">
        <f t="shared" si="95"/>
        <v>0</v>
      </c>
      <c r="Q49" s="325">
        <v>0</v>
      </c>
      <c r="R49" s="325">
        <v>0</v>
      </c>
      <c r="S49" s="325">
        <v>0</v>
      </c>
      <c r="T49" s="325">
        <v>0</v>
      </c>
      <c r="U49" s="325">
        <v>0</v>
      </c>
      <c r="V49" s="492">
        <f t="shared" si="96"/>
        <v>0</v>
      </c>
      <c r="W49" s="325">
        <v>0</v>
      </c>
      <c r="X49" s="325">
        <v>0</v>
      </c>
      <c r="Y49" s="325">
        <v>0</v>
      </c>
      <c r="Z49" s="492">
        <f t="shared" si="97"/>
        <v>0</v>
      </c>
      <c r="AA49" s="492">
        <f t="shared" si="98"/>
        <v>0</v>
      </c>
      <c r="AB49" s="494">
        <f t="shared" si="99"/>
        <v>0</v>
      </c>
      <c r="AC49" s="494">
        <f t="shared" si="100"/>
        <v>0</v>
      </c>
      <c r="AD49" s="492">
        <v>0</v>
      </c>
      <c r="AE49" s="753">
        <f t="shared" si="101"/>
        <v>0</v>
      </c>
      <c r="AF49" s="688">
        <v>0</v>
      </c>
      <c r="AG49" s="326">
        <v>0</v>
      </c>
      <c r="AH49" s="326">
        <v>0</v>
      </c>
      <c r="AI49" s="326">
        <v>0</v>
      </c>
      <c r="AJ49" s="326">
        <v>0</v>
      </c>
      <c r="AK49" s="326">
        <v>0</v>
      </c>
      <c r="AL49" s="609">
        <f t="shared" si="102"/>
        <v>0</v>
      </c>
      <c r="AM49" s="493">
        <f>I49+AE49</f>
        <v>698560</v>
      </c>
      <c r="AN49" s="492">
        <f>J49+V49</f>
        <v>518220</v>
      </c>
      <c r="AO49" s="573">
        <f t="shared" si="103"/>
        <v>0</v>
      </c>
      <c r="AP49" s="492">
        <f t="shared" si="104"/>
        <v>175158</v>
      </c>
      <c r="AQ49" s="492">
        <f t="shared" si="104"/>
        <v>5182</v>
      </c>
      <c r="AR49" s="492">
        <v>0</v>
      </c>
      <c r="AS49" s="491">
        <f t="shared" si="105"/>
        <v>1</v>
      </c>
    </row>
    <row r="50" spans="1:45" s="152" customFormat="1" x14ac:dyDescent="0.2">
      <c r="A50" s="140">
        <v>11</v>
      </c>
      <c r="B50" s="141">
        <v>4438</v>
      </c>
      <c r="C50" s="141">
        <v>600074871</v>
      </c>
      <c r="D50" s="141">
        <v>49864599</v>
      </c>
      <c r="E50" s="139" t="s">
        <v>160</v>
      </c>
      <c r="F50" s="141">
        <v>3113</v>
      </c>
      <c r="G50" s="117" t="s">
        <v>278</v>
      </c>
      <c r="H50" s="560" t="s">
        <v>263</v>
      </c>
      <c r="I50" s="580">
        <v>8234827</v>
      </c>
      <c r="J50" s="490">
        <v>6108922</v>
      </c>
      <c r="K50" s="490">
        <v>0</v>
      </c>
      <c r="L50" s="55">
        <v>2064816</v>
      </c>
      <c r="M50" s="55">
        <v>61089</v>
      </c>
      <c r="N50" s="55">
        <v>0</v>
      </c>
      <c r="O50" s="614">
        <v>15.65</v>
      </c>
      <c r="P50" s="440">
        <f t="shared" si="95"/>
        <v>0</v>
      </c>
      <c r="Q50" s="325">
        <v>33067</v>
      </c>
      <c r="R50" s="325">
        <v>0</v>
      </c>
      <c r="S50" s="325">
        <v>0</v>
      </c>
      <c r="T50" s="325">
        <v>0</v>
      </c>
      <c r="U50" s="325">
        <v>0</v>
      </c>
      <c r="V50" s="492">
        <f t="shared" si="96"/>
        <v>33067</v>
      </c>
      <c r="W50" s="325">
        <v>0</v>
      </c>
      <c r="X50" s="325">
        <v>0</v>
      </c>
      <c r="Y50" s="325">
        <v>0</v>
      </c>
      <c r="Z50" s="492">
        <f t="shared" si="97"/>
        <v>0</v>
      </c>
      <c r="AA50" s="492">
        <f t="shared" si="98"/>
        <v>33067</v>
      </c>
      <c r="AB50" s="494">
        <f t="shared" si="99"/>
        <v>11177</v>
      </c>
      <c r="AC50" s="494">
        <f t="shared" si="100"/>
        <v>331</v>
      </c>
      <c r="AD50" s="492">
        <v>0</v>
      </c>
      <c r="AE50" s="753">
        <f t="shared" si="101"/>
        <v>44575</v>
      </c>
      <c r="AF50" s="688">
        <v>0</v>
      </c>
      <c r="AG50" s="326">
        <v>0.08</v>
      </c>
      <c r="AH50" s="326">
        <v>0</v>
      </c>
      <c r="AI50" s="326">
        <v>0</v>
      </c>
      <c r="AJ50" s="326">
        <v>0</v>
      </c>
      <c r="AK50" s="326">
        <v>0</v>
      </c>
      <c r="AL50" s="609">
        <f t="shared" si="102"/>
        <v>0.08</v>
      </c>
      <c r="AM50" s="493">
        <f>I50+AE50</f>
        <v>8279402</v>
      </c>
      <c r="AN50" s="492">
        <f>J50+V50</f>
        <v>6141989</v>
      </c>
      <c r="AO50" s="573">
        <f t="shared" si="103"/>
        <v>0</v>
      </c>
      <c r="AP50" s="492">
        <f t="shared" si="104"/>
        <v>2075993</v>
      </c>
      <c r="AQ50" s="492">
        <f t="shared" si="104"/>
        <v>61420</v>
      </c>
      <c r="AR50" s="492">
        <v>0</v>
      </c>
      <c r="AS50" s="491">
        <f t="shared" si="105"/>
        <v>15.73</v>
      </c>
    </row>
    <row r="51" spans="1:45" s="152" customFormat="1" x14ac:dyDescent="0.2">
      <c r="A51" s="140">
        <v>11</v>
      </c>
      <c r="B51" s="141">
        <v>4438</v>
      </c>
      <c r="C51" s="141">
        <v>600074871</v>
      </c>
      <c r="D51" s="141">
        <v>49864599</v>
      </c>
      <c r="E51" s="139" t="s">
        <v>160</v>
      </c>
      <c r="F51" s="141">
        <v>3143</v>
      </c>
      <c r="G51" s="117" t="s">
        <v>794</v>
      </c>
      <c r="H51" s="157" t="s">
        <v>262</v>
      </c>
      <c r="I51" s="580">
        <v>4291039</v>
      </c>
      <c r="J51" s="490">
        <v>3183263</v>
      </c>
      <c r="K51" s="490">
        <v>0</v>
      </c>
      <c r="L51" s="55">
        <v>1075943</v>
      </c>
      <c r="M51" s="55">
        <v>31833</v>
      </c>
      <c r="N51" s="55">
        <v>0</v>
      </c>
      <c r="O51" s="614">
        <v>6.26</v>
      </c>
      <c r="P51" s="440">
        <f t="shared" si="95"/>
        <v>0</v>
      </c>
      <c r="Q51" s="325">
        <v>0</v>
      </c>
      <c r="R51" s="325">
        <v>0</v>
      </c>
      <c r="S51" s="325">
        <v>0</v>
      </c>
      <c r="T51" s="325">
        <v>0</v>
      </c>
      <c r="U51" s="325">
        <v>0</v>
      </c>
      <c r="V51" s="492">
        <f t="shared" si="96"/>
        <v>0</v>
      </c>
      <c r="W51" s="325">
        <v>0</v>
      </c>
      <c r="X51" s="325">
        <v>0</v>
      </c>
      <c r="Y51" s="325">
        <v>0</v>
      </c>
      <c r="Z51" s="492">
        <f t="shared" si="97"/>
        <v>0</v>
      </c>
      <c r="AA51" s="492">
        <f t="shared" si="98"/>
        <v>0</v>
      </c>
      <c r="AB51" s="494">
        <f t="shared" si="99"/>
        <v>0</v>
      </c>
      <c r="AC51" s="494">
        <f t="shared" si="100"/>
        <v>0</v>
      </c>
      <c r="AD51" s="492">
        <v>0</v>
      </c>
      <c r="AE51" s="753">
        <f t="shared" si="101"/>
        <v>0</v>
      </c>
      <c r="AF51" s="688">
        <v>0</v>
      </c>
      <c r="AG51" s="326">
        <v>0</v>
      </c>
      <c r="AH51" s="326">
        <v>0</v>
      </c>
      <c r="AI51" s="326">
        <v>0</v>
      </c>
      <c r="AJ51" s="326">
        <v>0</v>
      </c>
      <c r="AK51" s="326">
        <v>0</v>
      </c>
      <c r="AL51" s="609">
        <f t="shared" si="102"/>
        <v>0</v>
      </c>
      <c r="AM51" s="493">
        <f>I51+AE51</f>
        <v>4291039</v>
      </c>
      <c r="AN51" s="492">
        <f>J51+V51</f>
        <v>3183263</v>
      </c>
      <c r="AO51" s="573">
        <f t="shared" si="103"/>
        <v>0</v>
      </c>
      <c r="AP51" s="492">
        <f t="shared" si="104"/>
        <v>1075943</v>
      </c>
      <c r="AQ51" s="492">
        <f t="shared" si="104"/>
        <v>31833</v>
      </c>
      <c r="AR51" s="492">
        <v>0</v>
      </c>
      <c r="AS51" s="491">
        <f t="shared" si="105"/>
        <v>6.26</v>
      </c>
    </row>
    <row r="52" spans="1:45" s="152" customFormat="1" x14ac:dyDescent="0.2">
      <c r="A52" s="140">
        <v>11</v>
      </c>
      <c r="B52" s="141">
        <v>4438</v>
      </c>
      <c r="C52" s="141">
        <v>600074871</v>
      </c>
      <c r="D52" s="141">
        <v>49864599</v>
      </c>
      <c r="E52" s="139" t="s">
        <v>160</v>
      </c>
      <c r="F52" s="141">
        <v>3143</v>
      </c>
      <c r="G52" s="117" t="s">
        <v>282</v>
      </c>
      <c r="H52" s="157" t="s">
        <v>263</v>
      </c>
      <c r="I52" s="580">
        <v>436388</v>
      </c>
      <c r="J52" s="490">
        <v>323730</v>
      </c>
      <c r="K52" s="490">
        <v>0</v>
      </c>
      <c r="L52" s="55">
        <v>109421</v>
      </c>
      <c r="M52" s="55">
        <v>3237</v>
      </c>
      <c r="N52" s="55">
        <v>0</v>
      </c>
      <c r="O52" s="614">
        <v>0.6</v>
      </c>
      <c r="P52" s="440">
        <f t="shared" si="95"/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0</v>
      </c>
      <c r="V52" s="492">
        <f t="shared" si="96"/>
        <v>0</v>
      </c>
      <c r="W52" s="325">
        <v>0</v>
      </c>
      <c r="X52" s="325">
        <v>0</v>
      </c>
      <c r="Y52" s="325">
        <v>0</v>
      </c>
      <c r="Z52" s="492">
        <f t="shared" si="97"/>
        <v>0</v>
      </c>
      <c r="AA52" s="492">
        <f t="shared" si="98"/>
        <v>0</v>
      </c>
      <c r="AB52" s="494">
        <f t="shared" si="99"/>
        <v>0</v>
      </c>
      <c r="AC52" s="494">
        <f t="shared" si="100"/>
        <v>0</v>
      </c>
      <c r="AD52" s="492">
        <v>0</v>
      </c>
      <c r="AE52" s="753">
        <f t="shared" si="101"/>
        <v>0</v>
      </c>
      <c r="AF52" s="688">
        <v>0</v>
      </c>
      <c r="AG52" s="326">
        <v>0</v>
      </c>
      <c r="AH52" s="326">
        <v>0</v>
      </c>
      <c r="AI52" s="326">
        <v>0</v>
      </c>
      <c r="AJ52" s="326">
        <v>0</v>
      </c>
      <c r="AK52" s="326">
        <v>0</v>
      </c>
      <c r="AL52" s="609">
        <f t="shared" si="102"/>
        <v>0</v>
      </c>
      <c r="AM52" s="493">
        <f>I52+AE52</f>
        <v>436388</v>
      </c>
      <c r="AN52" s="492">
        <f>J52+V52</f>
        <v>323730</v>
      </c>
      <c r="AO52" s="573">
        <f t="shared" si="103"/>
        <v>0</v>
      </c>
      <c r="AP52" s="492">
        <f t="shared" si="104"/>
        <v>109421</v>
      </c>
      <c r="AQ52" s="492">
        <f t="shared" si="104"/>
        <v>3237</v>
      </c>
      <c r="AR52" s="492">
        <v>0</v>
      </c>
      <c r="AS52" s="491">
        <f t="shared" si="105"/>
        <v>0.6</v>
      </c>
    </row>
    <row r="53" spans="1:45" s="152" customFormat="1" x14ac:dyDescent="0.2">
      <c r="A53" s="107">
        <v>11</v>
      </c>
      <c r="B53" s="15">
        <v>4438</v>
      </c>
      <c r="C53" s="15">
        <v>600074871</v>
      </c>
      <c r="D53" s="15">
        <v>49864599</v>
      </c>
      <c r="E53" s="116" t="s">
        <v>161</v>
      </c>
      <c r="F53" s="15"/>
      <c r="G53" s="106"/>
      <c r="H53" s="555"/>
      <c r="I53" s="758">
        <v>52869937</v>
      </c>
      <c r="J53" s="343">
        <v>39067013</v>
      </c>
      <c r="K53" s="343">
        <v>155160</v>
      </c>
      <c r="L53" s="343">
        <v>13257095</v>
      </c>
      <c r="M53" s="343">
        <v>390669</v>
      </c>
      <c r="N53" s="343">
        <v>0</v>
      </c>
      <c r="O53" s="35">
        <v>63.099999999999994</v>
      </c>
      <c r="P53" s="346">
        <f t="shared" ref="P53:AS53" si="106">SUM(P48:P52)</f>
        <v>-47840</v>
      </c>
      <c r="Q53" s="343">
        <f t="shared" si="106"/>
        <v>33067</v>
      </c>
      <c r="R53" s="343">
        <f t="shared" si="106"/>
        <v>0</v>
      </c>
      <c r="S53" s="343">
        <f t="shared" si="106"/>
        <v>0</v>
      </c>
      <c r="T53" s="343">
        <f t="shared" si="106"/>
        <v>0</v>
      </c>
      <c r="U53" s="343">
        <f t="shared" si="106"/>
        <v>0</v>
      </c>
      <c r="V53" s="343">
        <f t="shared" si="106"/>
        <v>-14773</v>
      </c>
      <c r="W53" s="343">
        <f t="shared" si="106"/>
        <v>47840</v>
      </c>
      <c r="X53" s="343">
        <f t="shared" si="106"/>
        <v>0</v>
      </c>
      <c r="Y53" s="343">
        <f t="shared" si="106"/>
        <v>0</v>
      </c>
      <c r="Z53" s="343">
        <f t="shared" si="106"/>
        <v>47840</v>
      </c>
      <c r="AA53" s="343">
        <f t="shared" si="106"/>
        <v>33067</v>
      </c>
      <c r="AB53" s="343">
        <f t="shared" si="106"/>
        <v>11177</v>
      </c>
      <c r="AC53" s="343">
        <f t="shared" si="106"/>
        <v>-147</v>
      </c>
      <c r="AD53" s="343">
        <f t="shared" si="106"/>
        <v>0</v>
      </c>
      <c r="AE53" s="763">
        <f t="shared" si="106"/>
        <v>44097</v>
      </c>
      <c r="AF53" s="767">
        <f t="shared" si="106"/>
        <v>-7.0000000000000007E-2</v>
      </c>
      <c r="AG53" s="344">
        <f t="shared" si="106"/>
        <v>0.08</v>
      </c>
      <c r="AH53" s="344">
        <f t="shared" si="106"/>
        <v>0</v>
      </c>
      <c r="AI53" s="344">
        <f t="shared" si="106"/>
        <v>0</v>
      </c>
      <c r="AJ53" s="344">
        <f t="shared" si="106"/>
        <v>0</v>
      </c>
      <c r="AK53" s="344">
        <f t="shared" si="106"/>
        <v>0</v>
      </c>
      <c r="AL53" s="35">
        <f t="shared" si="106"/>
        <v>9.999999999999995E-3</v>
      </c>
      <c r="AM53" s="346">
        <f t="shared" si="106"/>
        <v>52914034</v>
      </c>
      <c r="AN53" s="343">
        <f t="shared" si="106"/>
        <v>39052240</v>
      </c>
      <c r="AO53" s="343">
        <f t="shared" si="106"/>
        <v>203000</v>
      </c>
      <c r="AP53" s="343">
        <f t="shared" si="106"/>
        <v>13268272</v>
      </c>
      <c r="AQ53" s="343">
        <f t="shared" si="106"/>
        <v>390522</v>
      </c>
      <c r="AR53" s="343">
        <f t="shared" si="106"/>
        <v>0</v>
      </c>
      <c r="AS53" s="344">
        <f t="shared" si="106"/>
        <v>63.11</v>
      </c>
    </row>
    <row r="54" spans="1:45" s="152" customFormat="1" x14ac:dyDescent="0.2">
      <c r="A54" s="140">
        <v>12</v>
      </c>
      <c r="B54" s="141">
        <v>4455</v>
      </c>
      <c r="C54" s="141">
        <v>600074889</v>
      </c>
      <c r="D54" s="141">
        <v>49864611</v>
      </c>
      <c r="E54" s="139" t="s">
        <v>162</v>
      </c>
      <c r="F54" s="141">
        <v>3113</v>
      </c>
      <c r="G54" s="117" t="s">
        <v>280</v>
      </c>
      <c r="H54" s="560" t="s">
        <v>262</v>
      </c>
      <c r="I54" s="580">
        <v>39416926</v>
      </c>
      <c r="J54" s="490">
        <v>29223177</v>
      </c>
      <c r="K54" s="490">
        <v>18000</v>
      </c>
      <c r="L54" s="55">
        <v>9883518</v>
      </c>
      <c r="M54" s="55">
        <v>292231</v>
      </c>
      <c r="N54" s="55">
        <v>0</v>
      </c>
      <c r="O54" s="614">
        <v>38.61</v>
      </c>
      <c r="P54" s="445">
        <f>W54*-1</f>
        <v>-12000</v>
      </c>
      <c r="Q54" s="325">
        <v>0</v>
      </c>
      <c r="R54" s="325">
        <v>0</v>
      </c>
      <c r="S54" s="325">
        <v>0</v>
      </c>
      <c r="T54" s="325">
        <v>0</v>
      </c>
      <c r="U54" s="325">
        <v>0</v>
      </c>
      <c r="V54" s="492">
        <f t="shared" ref="V54:V57" si="107">P54+Q54+R54+S54+T54+U54</f>
        <v>-12000</v>
      </c>
      <c r="W54" s="325">
        <v>12000</v>
      </c>
      <c r="X54" s="325">
        <v>0</v>
      </c>
      <c r="Y54" s="325">
        <v>0</v>
      </c>
      <c r="Z54" s="492">
        <f t="shared" ref="Z54:Z57" si="108">W54+X54+Y54</f>
        <v>12000</v>
      </c>
      <c r="AA54" s="492">
        <f t="shared" ref="AA54:AA57" si="109">V54+Z54</f>
        <v>0</v>
      </c>
      <c r="AB54" s="494">
        <f t="shared" ref="AB54:AB57" si="110">ROUND((V54+Z54)*33.8%,0)</f>
        <v>0</v>
      </c>
      <c r="AC54" s="494">
        <f t="shared" ref="AC54:AC57" si="111">ROUND(V54*1%,0)</f>
        <v>-120</v>
      </c>
      <c r="AD54" s="492">
        <v>0</v>
      </c>
      <c r="AE54" s="753">
        <f t="shared" ref="AE54:AE57" si="112">AA54+AB54+AC54+AD54</f>
        <v>-120</v>
      </c>
      <c r="AF54" s="688">
        <v>-0.02</v>
      </c>
      <c r="AG54" s="326">
        <v>0</v>
      </c>
      <c r="AH54" s="326">
        <v>0</v>
      </c>
      <c r="AI54" s="326">
        <v>0</v>
      </c>
      <c r="AJ54" s="326">
        <v>0</v>
      </c>
      <c r="AK54" s="326">
        <v>0</v>
      </c>
      <c r="AL54" s="609">
        <f t="shared" ref="AL54:AL57" si="113">SUM(AF54:AK54)</f>
        <v>-0.02</v>
      </c>
      <c r="AM54" s="493">
        <f>I54+AE54</f>
        <v>39416806</v>
      </c>
      <c r="AN54" s="492">
        <f>J54+V54</f>
        <v>29211177</v>
      </c>
      <c r="AO54" s="573">
        <f t="shared" ref="AO54:AO57" si="114">K54+Z54</f>
        <v>30000</v>
      </c>
      <c r="AP54" s="492">
        <f t="shared" ref="AP54:AQ57" si="115">L54+AB54</f>
        <v>9883518</v>
      </c>
      <c r="AQ54" s="492">
        <f t="shared" si="115"/>
        <v>292111</v>
      </c>
      <c r="AR54" s="492">
        <v>0</v>
      </c>
      <c r="AS54" s="491">
        <f t="shared" ref="AS54:AS57" si="116">O54+AL54</f>
        <v>38.589999999999996</v>
      </c>
    </row>
    <row r="55" spans="1:45" s="152" customFormat="1" x14ac:dyDescent="0.2">
      <c r="A55" s="140">
        <v>12</v>
      </c>
      <c r="B55" s="141">
        <v>4455</v>
      </c>
      <c r="C55" s="141">
        <v>600074889</v>
      </c>
      <c r="D55" s="141">
        <v>49864611</v>
      </c>
      <c r="E55" s="139" t="s">
        <v>162</v>
      </c>
      <c r="F55" s="141">
        <v>3113</v>
      </c>
      <c r="G55" s="117" t="s">
        <v>799</v>
      </c>
      <c r="H55" s="560" t="s">
        <v>262</v>
      </c>
      <c r="I55" s="580">
        <v>742527</v>
      </c>
      <c r="J55" s="490">
        <v>550836</v>
      </c>
      <c r="K55" s="490">
        <v>0</v>
      </c>
      <c r="L55" s="55">
        <v>186183</v>
      </c>
      <c r="M55" s="55">
        <v>5508</v>
      </c>
      <c r="N55" s="55">
        <v>0</v>
      </c>
      <c r="O55" s="614">
        <v>1</v>
      </c>
      <c r="P55" s="445">
        <f>W55*-1</f>
        <v>0</v>
      </c>
      <c r="Q55" s="325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 t="shared" si="107"/>
        <v>0</v>
      </c>
      <c r="W55" s="325">
        <v>0</v>
      </c>
      <c r="X55" s="325">
        <v>0</v>
      </c>
      <c r="Y55" s="325">
        <v>0</v>
      </c>
      <c r="Z55" s="492">
        <f t="shared" si="108"/>
        <v>0</v>
      </c>
      <c r="AA55" s="492">
        <f t="shared" si="109"/>
        <v>0</v>
      </c>
      <c r="AB55" s="494">
        <f t="shared" si="110"/>
        <v>0</v>
      </c>
      <c r="AC55" s="494">
        <f t="shared" si="111"/>
        <v>0</v>
      </c>
      <c r="AD55" s="492">
        <v>0</v>
      </c>
      <c r="AE55" s="753">
        <f t="shared" si="112"/>
        <v>0</v>
      </c>
      <c r="AF55" s="688">
        <v>0</v>
      </c>
      <c r="AG55" s="326">
        <v>0</v>
      </c>
      <c r="AH55" s="326">
        <v>0</v>
      </c>
      <c r="AI55" s="326">
        <v>0</v>
      </c>
      <c r="AJ55" s="326">
        <v>0</v>
      </c>
      <c r="AK55" s="326">
        <v>0</v>
      </c>
      <c r="AL55" s="609">
        <f t="shared" si="113"/>
        <v>0</v>
      </c>
      <c r="AM55" s="493">
        <f>I55+AE55</f>
        <v>742527</v>
      </c>
      <c r="AN55" s="492">
        <f>J55+V55</f>
        <v>550836</v>
      </c>
      <c r="AO55" s="573">
        <f t="shared" si="114"/>
        <v>0</v>
      </c>
      <c r="AP55" s="492">
        <f t="shared" si="115"/>
        <v>186183</v>
      </c>
      <c r="AQ55" s="492">
        <f t="shared" si="115"/>
        <v>5508</v>
      </c>
      <c r="AR55" s="492">
        <v>0</v>
      </c>
      <c r="AS55" s="491">
        <f t="shared" si="116"/>
        <v>1</v>
      </c>
    </row>
    <row r="56" spans="1:45" s="152" customFormat="1" x14ac:dyDescent="0.2">
      <c r="A56" s="140">
        <v>12</v>
      </c>
      <c r="B56" s="141">
        <v>4455</v>
      </c>
      <c r="C56" s="141">
        <v>600074889</v>
      </c>
      <c r="D56" s="141">
        <v>49864611</v>
      </c>
      <c r="E56" s="139" t="s">
        <v>162</v>
      </c>
      <c r="F56" s="141">
        <v>3113</v>
      </c>
      <c r="G56" s="117" t="s">
        <v>278</v>
      </c>
      <c r="H56" s="560" t="s">
        <v>263</v>
      </c>
      <c r="I56" s="580">
        <v>2704496</v>
      </c>
      <c r="J56" s="490">
        <v>2006303</v>
      </c>
      <c r="K56" s="490">
        <v>0</v>
      </c>
      <c r="L56" s="55">
        <v>678130</v>
      </c>
      <c r="M56" s="55">
        <v>20063</v>
      </c>
      <c r="N56" s="55">
        <v>0</v>
      </c>
      <c r="O56" s="614">
        <v>5.0599999999999996</v>
      </c>
      <c r="P56" s="440">
        <f>W56*-1</f>
        <v>0</v>
      </c>
      <c r="Q56" s="325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 t="shared" si="107"/>
        <v>0</v>
      </c>
      <c r="W56" s="325">
        <v>0</v>
      </c>
      <c r="X56" s="325">
        <v>0</v>
      </c>
      <c r="Y56" s="325">
        <v>0</v>
      </c>
      <c r="Z56" s="492">
        <f t="shared" si="108"/>
        <v>0</v>
      </c>
      <c r="AA56" s="492">
        <f t="shared" si="109"/>
        <v>0</v>
      </c>
      <c r="AB56" s="494">
        <f t="shared" si="110"/>
        <v>0</v>
      </c>
      <c r="AC56" s="494">
        <f t="shared" si="111"/>
        <v>0</v>
      </c>
      <c r="AD56" s="492">
        <v>0</v>
      </c>
      <c r="AE56" s="753">
        <f t="shared" si="112"/>
        <v>0</v>
      </c>
      <c r="AF56" s="688">
        <v>0</v>
      </c>
      <c r="AG56" s="326">
        <v>0</v>
      </c>
      <c r="AH56" s="326">
        <v>0</v>
      </c>
      <c r="AI56" s="326">
        <v>0</v>
      </c>
      <c r="AJ56" s="326">
        <v>0</v>
      </c>
      <c r="AK56" s="326">
        <v>0</v>
      </c>
      <c r="AL56" s="609">
        <f t="shared" si="113"/>
        <v>0</v>
      </c>
      <c r="AM56" s="493">
        <f>I56+AE56</f>
        <v>2704496</v>
      </c>
      <c r="AN56" s="492">
        <f>J56+V56</f>
        <v>2006303</v>
      </c>
      <c r="AO56" s="573">
        <f t="shared" si="114"/>
        <v>0</v>
      </c>
      <c r="AP56" s="492">
        <f t="shared" si="115"/>
        <v>678130</v>
      </c>
      <c r="AQ56" s="492">
        <f t="shared" si="115"/>
        <v>20063</v>
      </c>
      <c r="AR56" s="492">
        <v>0</v>
      </c>
      <c r="AS56" s="491">
        <f t="shared" si="116"/>
        <v>5.0599999999999996</v>
      </c>
    </row>
    <row r="57" spans="1:45" s="152" customFormat="1" x14ac:dyDescent="0.2">
      <c r="A57" s="140">
        <v>12</v>
      </c>
      <c r="B57" s="141">
        <v>4455</v>
      </c>
      <c r="C57" s="141">
        <v>600074889</v>
      </c>
      <c r="D57" s="141">
        <v>49864611</v>
      </c>
      <c r="E57" s="139" t="s">
        <v>162</v>
      </c>
      <c r="F57" s="141">
        <v>3143</v>
      </c>
      <c r="G57" s="117" t="s">
        <v>795</v>
      </c>
      <c r="H57" s="157" t="s">
        <v>262</v>
      </c>
      <c r="I57" s="580">
        <v>4169381</v>
      </c>
      <c r="J57" s="490">
        <v>3087057</v>
      </c>
      <c r="K57" s="490">
        <v>6000</v>
      </c>
      <c r="L57" s="55">
        <v>1045453</v>
      </c>
      <c r="M57" s="55">
        <v>30871</v>
      </c>
      <c r="N57" s="55">
        <v>0</v>
      </c>
      <c r="O57" s="614">
        <v>5.64</v>
      </c>
      <c r="P57" s="440">
        <f>W57*-1</f>
        <v>-4000</v>
      </c>
      <c r="Q57" s="325">
        <v>0</v>
      </c>
      <c r="R57" s="325">
        <v>0</v>
      </c>
      <c r="S57" s="325">
        <v>0</v>
      </c>
      <c r="T57" s="325">
        <v>0</v>
      </c>
      <c r="U57" s="325">
        <v>0</v>
      </c>
      <c r="V57" s="492">
        <f t="shared" si="107"/>
        <v>-4000</v>
      </c>
      <c r="W57" s="325">
        <v>4000</v>
      </c>
      <c r="X57" s="325">
        <v>0</v>
      </c>
      <c r="Y57" s="325">
        <v>0</v>
      </c>
      <c r="Z57" s="492">
        <f t="shared" si="108"/>
        <v>4000</v>
      </c>
      <c r="AA57" s="492">
        <f t="shared" si="109"/>
        <v>0</v>
      </c>
      <c r="AB57" s="494">
        <f t="shared" si="110"/>
        <v>0</v>
      </c>
      <c r="AC57" s="494">
        <f t="shared" si="111"/>
        <v>-40</v>
      </c>
      <c r="AD57" s="492">
        <v>0</v>
      </c>
      <c r="AE57" s="753">
        <f t="shared" si="112"/>
        <v>-40</v>
      </c>
      <c r="AF57" s="688">
        <v>0</v>
      </c>
      <c r="AG57" s="326">
        <v>0</v>
      </c>
      <c r="AH57" s="326">
        <v>0</v>
      </c>
      <c r="AI57" s="326">
        <v>0</v>
      </c>
      <c r="AJ57" s="326">
        <v>0</v>
      </c>
      <c r="AK57" s="326">
        <v>0</v>
      </c>
      <c r="AL57" s="609">
        <f t="shared" si="113"/>
        <v>0</v>
      </c>
      <c r="AM57" s="493">
        <f>I57+AE57</f>
        <v>4169341</v>
      </c>
      <c r="AN57" s="492">
        <f>J57+V57</f>
        <v>3083057</v>
      </c>
      <c r="AO57" s="573">
        <f t="shared" si="114"/>
        <v>10000</v>
      </c>
      <c r="AP57" s="492">
        <f t="shared" si="115"/>
        <v>1045453</v>
      </c>
      <c r="AQ57" s="492">
        <f t="shared" si="115"/>
        <v>30831</v>
      </c>
      <c r="AR57" s="492">
        <v>0</v>
      </c>
      <c r="AS57" s="491">
        <f t="shared" si="116"/>
        <v>5.64</v>
      </c>
    </row>
    <row r="58" spans="1:45" s="152" customFormat="1" x14ac:dyDescent="0.2">
      <c r="A58" s="107">
        <v>12</v>
      </c>
      <c r="B58" s="15">
        <v>4455</v>
      </c>
      <c r="C58" s="15">
        <v>600074889</v>
      </c>
      <c r="D58" s="15">
        <v>49864611</v>
      </c>
      <c r="E58" s="116" t="s">
        <v>163</v>
      </c>
      <c r="F58" s="15"/>
      <c r="G58" s="106"/>
      <c r="H58" s="555"/>
      <c r="I58" s="758">
        <v>47033330</v>
      </c>
      <c r="J58" s="343">
        <v>34867373</v>
      </c>
      <c r="K58" s="343">
        <v>24000</v>
      </c>
      <c r="L58" s="343">
        <v>11793284</v>
      </c>
      <c r="M58" s="343">
        <v>348673</v>
      </c>
      <c r="N58" s="343">
        <v>0</v>
      </c>
      <c r="O58" s="35">
        <v>50.31</v>
      </c>
      <c r="P58" s="346">
        <f t="shared" ref="P58:AS58" si="117">SUM(P54:P57)</f>
        <v>-16000</v>
      </c>
      <c r="Q58" s="343">
        <f t="shared" si="117"/>
        <v>0</v>
      </c>
      <c r="R58" s="343">
        <f t="shared" si="117"/>
        <v>0</v>
      </c>
      <c r="S58" s="343">
        <f t="shared" si="117"/>
        <v>0</v>
      </c>
      <c r="T58" s="343">
        <f t="shared" si="117"/>
        <v>0</v>
      </c>
      <c r="U58" s="343">
        <f t="shared" si="117"/>
        <v>0</v>
      </c>
      <c r="V58" s="343">
        <f t="shared" si="117"/>
        <v>-16000</v>
      </c>
      <c r="W58" s="343">
        <f t="shared" si="117"/>
        <v>16000</v>
      </c>
      <c r="X58" s="343">
        <f t="shared" si="117"/>
        <v>0</v>
      </c>
      <c r="Y58" s="343">
        <f t="shared" si="117"/>
        <v>0</v>
      </c>
      <c r="Z58" s="343">
        <f t="shared" si="117"/>
        <v>16000</v>
      </c>
      <c r="AA58" s="343">
        <f t="shared" si="117"/>
        <v>0</v>
      </c>
      <c r="AB58" s="343">
        <f t="shared" si="117"/>
        <v>0</v>
      </c>
      <c r="AC58" s="343">
        <f t="shared" si="117"/>
        <v>-160</v>
      </c>
      <c r="AD58" s="343">
        <f t="shared" si="117"/>
        <v>0</v>
      </c>
      <c r="AE58" s="763">
        <f t="shared" si="117"/>
        <v>-160</v>
      </c>
      <c r="AF58" s="767">
        <f t="shared" si="117"/>
        <v>-0.02</v>
      </c>
      <c r="AG58" s="344">
        <f t="shared" si="117"/>
        <v>0</v>
      </c>
      <c r="AH58" s="344">
        <f t="shared" si="117"/>
        <v>0</v>
      </c>
      <c r="AI58" s="344">
        <f t="shared" si="117"/>
        <v>0</v>
      </c>
      <c r="AJ58" s="344">
        <f t="shared" si="117"/>
        <v>0</v>
      </c>
      <c r="AK58" s="344">
        <f t="shared" si="117"/>
        <v>0</v>
      </c>
      <c r="AL58" s="35">
        <f t="shared" si="117"/>
        <v>-0.02</v>
      </c>
      <c r="AM58" s="346">
        <f t="shared" si="117"/>
        <v>47033170</v>
      </c>
      <c r="AN58" s="343">
        <f t="shared" si="117"/>
        <v>34851373</v>
      </c>
      <c r="AO58" s="343">
        <f t="shared" si="117"/>
        <v>40000</v>
      </c>
      <c r="AP58" s="343">
        <f t="shared" si="117"/>
        <v>11793284</v>
      </c>
      <c r="AQ58" s="343">
        <f t="shared" si="117"/>
        <v>348513</v>
      </c>
      <c r="AR58" s="343">
        <f t="shared" si="117"/>
        <v>0</v>
      </c>
      <c r="AS58" s="344">
        <f t="shared" si="117"/>
        <v>50.29</v>
      </c>
    </row>
    <row r="59" spans="1:45" s="152" customFormat="1" x14ac:dyDescent="0.2">
      <c r="A59" s="140">
        <v>13</v>
      </c>
      <c r="B59" s="141">
        <v>4440</v>
      </c>
      <c r="C59" s="141">
        <v>600074897</v>
      </c>
      <c r="D59" s="141">
        <v>48283029</v>
      </c>
      <c r="E59" s="139" t="s">
        <v>164</v>
      </c>
      <c r="F59" s="141">
        <v>3113</v>
      </c>
      <c r="G59" s="117" t="s">
        <v>280</v>
      </c>
      <c r="H59" s="560" t="s">
        <v>262</v>
      </c>
      <c r="I59" s="580">
        <v>26097829</v>
      </c>
      <c r="J59" s="490">
        <v>19288942</v>
      </c>
      <c r="K59" s="490">
        <v>72000</v>
      </c>
      <c r="L59" s="55">
        <v>6543998</v>
      </c>
      <c r="M59" s="55">
        <v>192889</v>
      </c>
      <c r="N59" s="55">
        <v>0</v>
      </c>
      <c r="O59" s="614">
        <v>26.290000000000003</v>
      </c>
      <c r="P59" s="445">
        <f>W59*-1</f>
        <v>-48000</v>
      </c>
      <c r="Q59" s="325">
        <v>0</v>
      </c>
      <c r="R59" s="325">
        <v>0</v>
      </c>
      <c r="S59" s="325">
        <v>0</v>
      </c>
      <c r="T59" s="325">
        <v>0</v>
      </c>
      <c r="U59" s="325">
        <v>0</v>
      </c>
      <c r="V59" s="492">
        <f t="shared" ref="V59:V62" si="118">P59+Q59+R59+S59+T59+U59</f>
        <v>-48000</v>
      </c>
      <c r="W59" s="325">
        <v>48000</v>
      </c>
      <c r="X59" s="325">
        <v>0</v>
      </c>
      <c r="Y59" s="325">
        <v>0</v>
      </c>
      <c r="Z59" s="492">
        <f t="shared" ref="Z59:Z62" si="119">W59+X59+Y59</f>
        <v>48000</v>
      </c>
      <c r="AA59" s="492">
        <f t="shared" ref="AA59:AA62" si="120">V59+Z59</f>
        <v>0</v>
      </c>
      <c r="AB59" s="494">
        <f t="shared" ref="AB59:AB62" si="121">ROUND((V59+Z59)*33.8%,0)</f>
        <v>0</v>
      </c>
      <c r="AC59" s="494">
        <f t="shared" ref="AC59:AC62" si="122">ROUND(V59*1%,0)</f>
        <v>-480</v>
      </c>
      <c r="AD59" s="492">
        <v>0</v>
      </c>
      <c r="AE59" s="753">
        <f t="shared" ref="AE59:AE62" si="123">AA59+AB59+AC59+AD59</f>
        <v>-480</v>
      </c>
      <c r="AF59" s="688">
        <v>-0.05</v>
      </c>
      <c r="AG59" s="326">
        <v>0</v>
      </c>
      <c r="AH59" s="326">
        <v>0</v>
      </c>
      <c r="AI59" s="326">
        <v>0</v>
      </c>
      <c r="AJ59" s="326">
        <v>0</v>
      </c>
      <c r="AK59" s="326">
        <v>0</v>
      </c>
      <c r="AL59" s="609">
        <f t="shared" ref="AL59:AL62" si="124">SUM(AF59:AK59)</f>
        <v>-0.05</v>
      </c>
      <c r="AM59" s="493">
        <f>I59+AE59</f>
        <v>26097349</v>
      </c>
      <c r="AN59" s="492">
        <f>J59+V59</f>
        <v>19240942</v>
      </c>
      <c r="AO59" s="573">
        <f t="shared" ref="AO59:AO62" si="125">K59+Z59</f>
        <v>120000</v>
      </c>
      <c r="AP59" s="492">
        <f t="shared" ref="AP59:AQ62" si="126">L59+AB59</f>
        <v>6543998</v>
      </c>
      <c r="AQ59" s="492">
        <f t="shared" si="126"/>
        <v>192409</v>
      </c>
      <c r="AR59" s="492">
        <v>0</v>
      </c>
      <c r="AS59" s="491">
        <f t="shared" ref="AS59:AS62" si="127">O59+AL59</f>
        <v>26.240000000000002</v>
      </c>
    </row>
    <row r="60" spans="1:45" s="152" customFormat="1" x14ac:dyDescent="0.2">
      <c r="A60" s="140">
        <v>13</v>
      </c>
      <c r="B60" s="141">
        <v>4440</v>
      </c>
      <c r="C60" s="141">
        <v>600074897</v>
      </c>
      <c r="D60" s="141">
        <v>48283029</v>
      </c>
      <c r="E60" s="139" t="s">
        <v>164</v>
      </c>
      <c r="F60" s="141">
        <v>3113</v>
      </c>
      <c r="G60" s="117" t="s">
        <v>799</v>
      </c>
      <c r="H60" s="560" t="s">
        <v>262</v>
      </c>
      <c r="I60" s="580">
        <v>667406</v>
      </c>
      <c r="J60" s="490">
        <v>495108</v>
      </c>
      <c r="K60" s="490">
        <v>0</v>
      </c>
      <c r="L60" s="55">
        <v>167347</v>
      </c>
      <c r="M60" s="55">
        <v>4951</v>
      </c>
      <c r="N60" s="55">
        <v>0</v>
      </c>
      <c r="O60" s="614">
        <v>1</v>
      </c>
      <c r="P60" s="445">
        <f>W60*-1</f>
        <v>0</v>
      </c>
      <c r="Q60" s="325">
        <v>0</v>
      </c>
      <c r="R60" s="325">
        <v>0</v>
      </c>
      <c r="S60" s="325">
        <v>0</v>
      </c>
      <c r="T60" s="325">
        <v>0</v>
      </c>
      <c r="U60" s="325">
        <v>0</v>
      </c>
      <c r="V60" s="492">
        <f t="shared" si="118"/>
        <v>0</v>
      </c>
      <c r="W60" s="325">
        <v>0</v>
      </c>
      <c r="X60" s="325">
        <v>0</v>
      </c>
      <c r="Y60" s="325">
        <v>0</v>
      </c>
      <c r="Z60" s="492">
        <f t="shared" si="119"/>
        <v>0</v>
      </c>
      <c r="AA60" s="492">
        <f t="shared" si="120"/>
        <v>0</v>
      </c>
      <c r="AB60" s="494">
        <f t="shared" si="121"/>
        <v>0</v>
      </c>
      <c r="AC60" s="494">
        <f t="shared" si="122"/>
        <v>0</v>
      </c>
      <c r="AD60" s="492">
        <v>0</v>
      </c>
      <c r="AE60" s="753">
        <f t="shared" si="123"/>
        <v>0</v>
      </c>
      <c r="AF60" s="688">
        <v>0</v>
      </c>
      <c r="AG60" s="326">
        <v>0</v>
      </c>
      <c r="AH60" s="326">
        <v>0</v>
      </c>
      <c r="AI60" s="326">
        <v>0</v>
      </c>
      <c r="AJ60" s="326">
        <v>0</v>
      </c>
      <c r="AK60" s="326">
        <v>0</v>
      </c>
      <c r="AL60" s="609">
        <f t="shared" si="124"/>
        <v>0</v>
      </c>
      <c r="AM60" s="493">
        <f>I60+AE60</f>
        <v>667406</v>
      </c>
      <c r="AN60" s="492">
        <f>J60+V60</f>
        <v>495108</v>
      </c>
      <c r="AO60" s="573">
        <f t="shared" si="125"/>
        <v>0</v>
      </c>
      <c r="AP60" s="492">
        <f t="shared" si="126"/>
        <v>167347</v>
      </c>
      <c r="AQ60" s="492">
        <f t="shared" si="126"/>
        <v>4951</v>
      </c>
      <c r="AR60" s="492">
        <v>0</v>
      </c>
      <c r="AS60" s="491">
        <f t="shared" si="127"/>
        <v>1</v>
      </c>
    </row>
    <row r="61" spans="1:45" s="152" customFormat="1" x14ac:dyDescent="0.2">
      <c r="A61" s="140">
        <v>13</v>
      </c>
      <c r="B61" s="141">
        <v>4440</v>
      </c>
      <c r="C61" s="141">
        <v>600074897</v>
      </c>
      <c r="D61" s="141">
        <v>48283029</v>
      </c>
      <c r="E61" s="139" t="s">
        <v>164</v>
      </c>
      <c r="F61" s="141">
        <v>3113</v>
      </c>
      <c r="G61" s="117" t="s">
        <v>278</v>
      </c>
      <c r="H61" s="560" t="s">
        <v>263</v>
      </c>
      <c r="I61" s="580">
        <v>3331702</v>
      </c>
      <c r="J61" s="490">
        <v>2471589</v>
      </c>
      <c r="K61" s="490">
        <v>0</v>
      </c>
      <c r="L61" s="55">
        <v>835397</v>
      </c>
      <c r="M61" s="55">
        <v>24716</v>
      </c>
      <c r="N61" s="55">
        <v>0</v>
      </c>
      <c r="O61" s="614">
        <v>6.18</v>
      </c>
      <c r="P61" s="440">
        <f>W61*-1</f>
        <v>0</v>
      </c>
      <c r="Q61" s="325">
        <v>187428</v>
      </c>
      <c r="R61" s="325">
        <v>0</v>
      </c>
      <c r="S61" s="325">
        <v>0</v>
      </c>
      <c r="T61" s="325">
        <v>0</v>
      </c>
      <c r="U61" s="325">
        <v>0</v>
      </c>
      <c r="V61" s="492">
        <f t="shared" si="118"/>
        <v>187428</v>
      </c>
      <c r="W61" s="325">
        <v>0</v>
      </c>
      <c r="X61" s="325">
        <v>0</v>
      </c>
      <c r="Y61" s="325">
        <v>0</v>
      </c>
      <c r="Z61" s="492">
        <f t="shared" si="119"/>
        <v>0</v>
      </c>
      <c r="AA61" s="492">
        <f t="shared" si="120"/>
        <v>187428</v>
      </c>
      <c r="AB61" s="494">
        <f t="shared" si="121"/>
        <v>63351</v>
      </c>
      <c r="AC61" s="494">
        <f t="shared" si="122"/>
        <v>1874</v>
      </c>
      <c r="AD61" s="492">
        <v>0</v>
      </c>
      <c r="AE61" s="753">
        <f t="shared" si="123"/>
        <v>252653</v>
      </c>
      <c r="AF61" s="688">
        <v>0</v>
      </c>
      <c r="AG61" s="326">
        <v>0.46</v>
      </c>
      <c r="AH61" s="326">
        <v>0</v>
      </c>
      <c r="AI61" s="326">
        <v>0</v>
      </c>
      <c r="AJ61" s="326">
        <v>0</v>
      </c>
      <c r="AK61" s="326">
        <v>0</v>
      </c>
      <c r="AL61" s="609">
        <f t="shared" si="124"/>
        <v>0.46</v>
      </c>
      <c r="AM61" s="493">
        <f>I61+AE61</f>
        <v>3584355</v>
      </c>
      <c r="AN61" s="492">
        <f>J61+V61</f>
        <v>2659017</v>
      </c>
      <c r="AO61" s="573">
        <f t="shared" si="125"/>
        <v>0</v>
      </c>
      <c r="AP61" s="492">
        <f t="shared" si="126"/>
        <v>898748</v>
      </c>
      <c r="AQ61" s="492">
        <f t="shared" si="126"/>
        <v>26590</v>
      </c>
      <c r="AR61" s="492">
        <v>0</v>
      </c>
      <c r="AS61" s="491">
        <f t="shared" si="127"/>
        <v>6.64</v>
      </c>
    </row>
    <row r="62" spans="1:45" s="152" customFormat="1" x14ac:dyDescent="0.2">
      <c r="A62" s="140">
        <v>13</v>
      </c>
      <c r="B62" s="141">
        <v>4440</v>
      </c>
      <c r="C62" s="141">
        <v>600074897</v>
      </c>
      <c r="D62" s="141">
        <v>48283029</v>
      </c>
      <c r="E62" s="139" t="s">
        <v>164</v>
      </c>
      <c r="F62" s="141">
        <v>3143</v>
      </c>
      <c r="G62" s="117" t="s">
        <v>794</v>
      </c>
      <c r="H62" s="157" t="s">
        <v>262</v>
      </c>
      <c r="I62" s="580">
        <v>2840534</v>
      </c>
      <c r="J62" s="490">
        <v>2089354</v>
      </c>
      <c r="K62" s="490">
        <v>18000</v>
      </c>
      <c r="L62" s="55">
        <v>712286</v>
      </c>
      <c r="M62" s="55">
        <v>20894</v>
      </c>
      <c r="N62" s="55">
        <v>0</v>
      </c>
      <c r="O62" s="614">
        <v>4.12</v>
      </c>
      <c r="P62" s="440">
        <f>W62*-1</f>
        <v>-12000</v>
      </c>
      <c r="Q62" s="325">
        <v>0</v>
      </c>
      <c r="R62" s="325">
        <v>0</v>
      </c>
      <c r="S62" s="325">
        <v>0</v>
      </c>
      <c r="T62" s="325">
        <v>0</v>
      </c>
      <c r="U62" s="325">
        <v>0</v>
      </c>
      <c r="V62" s="492">
        <f t="shared" si="118"/>
        <v>-12000</v>
      </c>
      <c r="W62" s="325">
        <v>12000</v>
      </c>
      <c r="X62" s="325">
        <v>0</v>
      </c>
      <c r="Y62" s="325">
        <v>0</v>
      </c>
      <c r="Z62" s="492">
        <f t="shared" si="119"/>
        <v>12000</v>
      </c>
      <c r="AA62" s="492">
        <f t="shared" si="120"/>
        <v>0</v>
      </c>
      <c r="AB62" s="494">
        <f t="shared" si="121"/>
        <v>0</v>
      </c>
      <c r="AC62" s="494">
        <f t="shared" si="122"/>
        <v>-120</v>
      </c>
      <c r="AD62" s="492">
        <v>0</v>
      </c>
      <c r="AE62" s="753">
        <f t="shared" si="123"/>
        <v>-120</v>
      </c>
      <c r="AF62" s="688">
        <v>-0.02</v>
      </c>
      <c r="AG62" s="326">
        <v>0</v>
      </c>
      <c r="AH62" s="326">
        <v>0</v>
      </c>
      <c r="AI62" s="326">
        <v>0</v>
      </c>
      <c r="AJ62" s="326">
        <v>0</v>
      </c>
      <c r="AK62" s="326">
        <v>0</v>
      </c>
      <c r="AL62" s="609">
        <f t="shared" si="124"/>
        <v>-0.02</v>
      </c>
      <c r="AM62" s="493">
        <f>I62+AE62</f>
        <v>2840414</v>
      </c>
      <c r="AN62" s="492">
        <f>J62+V62</f>
        <v>2077354</v>
      </c>
      <c r="AO62" s="573">
        <f t="shared" si="125"/>
        <v>30000</v>
      </c>
      <c r="AP62" s="492">
        <f t="shared" si="126"/>
        <v>712286</v>
      </c>
      <c r="AQ62" s="492">
        <f t="shared" si="126"/>
        <v>20774</v>
      </c>
      <c r="AR62" s="492">
        <v>0</v>
      </c>
      <c r="AS62" s="491">
        <f t="shared" si="127"/>
        <v>4.1000000000000005</v>
      </c>
    </row>
    <row r="63" spans="1:45" s="152" customFormat="1" x14ac:dyDescent="0.2">
      <c r="A63" s="107">
        <v>13</v>
      </c>
      <c r="B63" s="15">
        <v>4440</v>
      </c>
      <c r="C63" s="15">
        <v>600074897</v>
      </c>
      <c r="D63" s="15">
        <v>48283029</v>
      </c>
      <c r="E63" s="116" t="s">
        <v>165</v>
      </c>
      <c r="F63" s="15"/>
      <c r="G63" s="106"/>
      <c r="H63" s="555"/>
      <c r="I63" s="758">
        <v>32937471</v>
      </c>
      <c r="J63" s="343">
        <v>24344993</v>
      </c>
      <c r="K63" s="343">
        <v>90000</v>
      </c>
      <c r="L63" s="343">
        <v>8259028</v>
      </c>
      <c r="M63" s="343">
        <v>243450</v>
      </c>
      <c r="N63" s="343">
        <v>0</v>
      </c>
      <c r="O63" s="35">
        <v>37.589999999999996</v>
      </c>
      <c r="P63" s="346">
        <f t="shared" ref="P63:AS63" si="128">SUM(P59:P62)</f>
        <v>-60000</v>
      </c>
      <c r="Q63" s="343">
        <f t="shared" si="128"/>
        <v>187428</v>
      </c>
      <c r="R63" s="343">
        <f t="shared" si="128"/>
        <v>0</v>
      </c>
      <c r="S63" s="343">
        <f t="shared" si="128"/>
        <v>0</v>
      </c>
      <c r="T63" s="343">
        <f t="shared" si="128"/>
        <v>0</v>
      </c>
      <c r="U63" s="343">
        <f t="shared" si="128"/>
        <v>0</v>
      </c>
      <c r="V63" s="343">
        <f t="shared" si="128"/>
        <v>127428</v>
      </c>
      <c r="W63" s="343">
        <f t="shared" si="128"/>
        <v>60000</v>
      </c>
      <c r="X63" s="343">
        <f t="shared" si="128"/>
        <v>0</v>
      </c>
      <c r="Y63" s="343">
        <f t="shared" si="128"/>
        <v>0</v>
      </c>
      <c r="Z63" s="343">
        <f t="shared" si="128"/>
        <v>60000</v>
      </c>
      <c r="AA63" s="343">
        <f t="shared" si="128"/>
        <v>187428</v>
      </c>
      <c r="AB63" s="343">
        <f t="shared" si="128"/>
        <v>63351</v>
      </c>
      <c r="AC63" s="343">
        <f t="shared" si="128"/>
        <v>1274</v>
      </c>
      <c r="AD63" s="343">
        <f t="shared" si="128"/>
        <v>0</v>
      </c>
      <c r="AE63" s="763">
        <f t="shared" si="128"/>
        <v>252053</v>
      </c>
      <c r="AF63" s="767">
        <f t="shared" si="128"/>
        <v>-7.0000000000000007E-2</v>
      </c>
      <c r="AG63" s="344">
        <f t="shared" si="128"/>
        <v>0.46</v>
      </c>
      <c r="AH63" s="344">
        <f t="shared" si="128"/>
        <v>0</v>
      </c>
      <c r="AI63" s="344">
        <f t="shared" si="128"/>
        <v>0</v>
      </c>
      <c r="AJ63" s="344">
        <f t="shared" si="128"/>
        <v>0</v>
      </c>
      <c r="AK63" s="344">
        <f t="shared" si="128"/>
        <v>0</v>
      </c>
      <c r="AL63" s="35">
        <f t="shared" si="128"/>
        <v>0.39</v>
      </c>
      <c r="AM63" s="346">
        <f t="shared" si="128"/>
        <v>33189524</v>
      </c>
      <c r="AN63" s="343">
        <f t="shared" si="128"/>
        <v>24472421</v>
      </c>
      <c r="AO63" s="343">
        <f t="shared" si="128"/>
        <v>150000</v>
      </c>
      <c r="AP63" s="343">
        <f t="shared" si="128"/>
        <v>8322379</v>
      </c>
      <c r="AQ63" s="343">
        <f t="shared" si="128"/>
        <v>244724</v>
      </c>
      <c r="AR63" s="343">
        <f t="shared" si="128"/>
        <v>0</v>
      </c>
      <c r="AS63" s="344">
        <f t="shared" si="128"/>
        <v>37.980000000000004</v>
      </c>
    </row>
    <row r="64" spans="1:45" s="152" customFormat="1" x14ac:dyDescent="0.2">
      <c r="A64" s="140">
        <v>14</v>
      </c>
      <c r="B64" s="141">
        <v>4442</v>
      </c>
      <c r="C64" s="141">
        <v>600074901</v>
      </c>
      <c r="D64" s="141">
        <v>48283061</v>
      </c>
      <c r="E64" s="139" t="s">
        <v>166</v>
      </c>
      <c r="F64" s="141">
        <v>3113</v>
      </c>
      <c r="G64" s="117" t="s">
        <v>280</v>
      </c>
      <c r="H64" s="560" t="s">
        <v>262</v>
      </c>
      <c r="I64" s="580">
        <v>17397232</v>
      </c>
      <c r="J64" s="490">
        <v>12876181</v>
      </c>
      <c r="K64" s="490">
        <v>30000</v>
      </c>
      <c r="L64" s="55">
        <v>4362289</v>
      </c>
      <c r="M64" s="55">
        <v>128762</v>
      </c>
      <c r="N64" s="55">
        <v>0</v>
      </c>
      <c r="O64" s="614">
        <v>16.52</v>
      </c>
      <c r="P64" s="445">
        <f t="shared" ref="P64:P67" si="129">W64*-1</f>
        <v>-20000</v>
      </c>
      <c r="Q64" s="325">
        <v>0</v>
      </c>
      <c r="R64" s="325">
        <v>0</v>
      </c>
      <c r="S64" s="325">
        <v>0</v>
      </c>
      <c r="T64" s="325">
        <v>0</v>
      </c>
      <c r="U64" s="325">
        <v>0</v>
      </c>
      <c r="V64" s="492">
        <f t="shared" ref="V64:V67" si="130">P64+Q64+R64+S64+T64+U64</f>
        <v>-20000</v>
      </c>
      <c r="W64" s="325">
        <v>20000</v>
      </c>
      <c r="X64" s="325">
        <v>0</v>
      </c>
      <c r="Y64" s="325">
        <v>0</v>
      </c>
      <c r="Z64" s="492">
        <f t="shared" ref="Z64:Z67" si="131">W64+X64+Y64</f>
        <v>20000</v>
      </c>
      <c r="AA64" s="492">
        <f t="shared" ref="AA64:AA67" si="132">V64+Z64</f>
        <v>0</v>
      </c>
      <c r="AB64" s="494">
        <f t="shared" ref="AB64:AB67" si="133">ROUND((V64+Z64)*33.8%,0)</f>
        <v>0</v>
      </c>
      <c r="AC64" s="494">
        <f t="shared" ref="AC64:AC67" si="134">ROUND(V64*1%,0)</f>
        <v>-200</v>
      </c>
      <c r="AD64" s="492">
        <v>0</v>
      </c>
      <c r="AE64" s="753">
        <f t="shared" ref="AE64:AE67" si="135">AA64+AB64+AC64+AD64</f>
        <v>-200</v>
      </c>
      <c r="AF64" s="688">
        <v>-0.02</v>
      </c>
      <c r="AG64" s="326">
        <v>0</v>
      </c>
      <c r="AH64" s="326">
        <v>0</v>
      </c>
      <c r="AI64" s="326">
        <v>0</v>
      </c>
      <c r="AJ64" s="326">
        <v>0</v>
      </c>
      <c r="AK64" s="326">
        <v>0</v>
      </c>
      <c r="AL64" s="609">
        <f t="shared" ref="AL64:AL67" si="136">SUM(AF64:AK64)</f>
        <v>-0.02</v>
      </c>
      <c r="AM64" s="493">
        <f>I64+AE64</f>
        <v>17397032</v>
      </c>
      <c r="AN64" s="492">
        <f>J64+V64</f>
        <v>12856181</v>
      </c>
      <c r="AO64" s="573">
        <f t="shared" ref="AO64:AO67" si="137">K64+Z64</f>
        <v>50000</v>
      </c>
      <c r="AP64" s="492">
        <f t="shared" ref="AP64:AQ67" si="138">L64+AB64</f>
        <v>4362289</v>
      </c>
      <c r="AQ64" s="492">
        <f t="shared" si="138"/>
        <v>128562</v>
      </c>
      <c r="AR64" s="492">
        <v>0</v>
      </c>
      <c r="AS64" s="491">
        <f t="shared" ref="AS64:AS67" si="139">O64+AL64</f>
        <v>16.5</v>
      </c>
    </row>
    <row r="65" spans="1:45" s="152" customFormat="1" x14ac:dyDescent="0.2">
      <c r="A65" s="140">
        <v>14</v>
      </c>
      <c r="B65" s="141">
        <v>4442</v>
      </c>
      <c r="C65" s="141">
        <v>600074901</v>
      </c>
      <c r="D65" s="141">
        <v>48283061</v>
      </c>
      <c r="E65" s="139" t="s">
        <v>166</v>
      </c>
      <c r="F65" s="141">
        <v>3113</v>
      </c>
      <c r="G65" s="117" t="s">
        <v>278</v>
      </c>
      <c r="H65" s="560" t="s">
        <v>263</v>
      </c>
      <c r="I65" s="580">
        <v>2080371</v>
      </c>
      <c r="J65" s="490">
        <v>1543302</v>
      </c>
      <c r="K65" s="490">
        <v>0</v>
      </c>
      <c r="L65" s="55">
        <v>521636</v>
      </c>
      <c r="M65" s="55">
        <v>15433</v>
      </c>
      <c r="N65" s="55">
        <v>0</v>
      </c>
      <c r="O65" s="614">
        <v>3.89</v>
      </c>
      <c r="P65" s="440">
        <f t="shared" si="129"/>
        <v>0</v>
      </c>
      <c r="Q65" s="325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 t="shared" si="130"/>
        <v>0</v>
      </c>
      <c r="W65" s="325">
        <v>0</v>
      </c>
      <c r="X65" s="325">
        <v>0</v>
      </c>
      <c r="Y65" s="325">
        <v>0</v>
      </c>
      <c r="Z65" s="492">
        <f t="shared" si="131"/>
        <v>0</v>
      </c>
      <c r="AA65" s="492">
        <f t="shared" si="132"/>
        <v>0</v>
      </c>
      <c r="AB65" s="494">
        <f t="shared" si="133"/>
        <v>0</v>
      </c>
      <c r="AC65" s="494">
        <f t="shared" si="134"/>
        <v>0</v>
      </c>
      <c r="AD65" s="492">
        <v>0</v>
      </c>
      <c r="AE65" s="753">
        <f t="shared" si="135"/>
        <v>0</v>
      </c>
      <c r="AF65" s="688">
        <v>0</v>
      </c>
      <c r="AG65" s="326">
        <v>0</v>
      </c>
      <c r="AH65" s="326">
        <v>0</v>
      </c>
      <c r="AI65" s="326">
        <v>0</v>
      </c>
      <c r="AJ65" s="326">
        <v>0</v>
      </c>
      <c r="AK65" s="326">
        <v>0</v>
      </c>
      <c r="AL65" s="609">
        <f t="shared" si="136"/>
        <v>0</v>
      </c>
      <c r="AM65" s="493">
        <f>I65+AE65</f>
        <v>2080371</v>
      </c>
      <c r="AN65" s="492">
        <f>J65+V65</f>
        <v>1543302</v>
      </c>
      <c r="AO65" s="573">
        <f t="shared" si="137"/>
        <v>0</v>
      </c>
      <c r="AP65" s="492">
        <f t="shared" si="138"/>
        <v>521636</v>
      </c>
      <c r="AQ65" s="492">
        <f t="shared" si="138"/>
        <v>15433</v>
      </c>
      <c r="AR65" s="492">
        <v>0</v>
      </c>
      <c r="AS65" s="491">
        <f t="shared" si="139"/>
        <v>3.89</v>
      </c>
    </row>
    <row r="66" spans="1:45" s="152" customFormat="1" x14ac:dyDescent="0.2">
      <c r="A66" s="140">
        <v>14</v>
      </c>
      <c r="B66" s="141">
        <v>4442</v>
      </c>
      <c r="C66" s="141">
        <v>600074901</v>
      </c>
      <c r="D66" s="141">
        <v>48283061</v>
      </c>
      <c r="E66" s="135" t="s">
        <v>166</v>
      </c>
      <c r="F66" s="141">
        <v>3143</v>
      </c>
      <c r="G66" s="117" t="s">
        <v>794</v>
      </c>
      <c r="H66" s="157" t="s">
        <v>262</v>
      </c>
      <c r="I66" s="580">
        <v>2079851</v>
      </c>
      <c r="J66" s="490">
        <v>1533983</v>
      </c>
      <c r="K66" s="490">
        <v>9000</v>
      </c>
      <c r="L66" s="55">
        <v>521528</v>
      </c>
      <c r="M66" s="55">
        <v>15340</v>
      </c>
      <c r="N66" s="55">
        <v>0</v>
      </c>
      <c r="O66" s="614">
        <v>2.64</v>
      </c>
      <c r="P66" s="440">
        <f t="shared" si="129"/>
        <v>-6000</v>
      </c>
      <c r="Q66" s="325">
        <v>0</v>
      </c>
      <c r="R66" s="325">
        <v>0</v>
      </c>
      <c r="S66" s="325">
        <v>0</v>
      </c>
      <c r="T66" s="325">
        <v>0</v>
      </c>
      <c r="U66" s="325">
        <v>0</v>
      </c>
      <c r="V66" s="492">
        <f t="shared" si="130"/>
        <v>-6000</v>
      </c>
      <c r="W66" s="325">
        <v>6000</v>
      </c>
      <c r="X66" s="325">
        <v>0</v>
      </c>
      <c r="Y66" s="325">
        <v>0</v>
      </c>
      <c r="Z66" s="492">
        <f t="shared" si="131"/>
        <v>6000</v>
      </c>
      <c r="AA66" s="492">
        <f t="shared" si="132"/>
        <v>0</v>
      </c>
      <c r="AB66" s="494">
        <f t="shared" si="133"/>
        <v>0</v>
      </c>
      <c r="AC66" s="494">
        <f t="shared" si="134"/>
        <v>-60</v>
      </c>
      <c r="AD66" s="492">
        <v>0</v>
      </c>
      <c r="AE66" s="753">
        <f t="shared" si="135"/>
        <v>-60</v>
      </c>
      <c r="AF66" s="688">
        <v>0</v>
      </c>
      <c r="AG66" s="326">
        <v>0</v>
      </c>
      <c r="AH66" s="326">
        <v>0</v>
      </c>
      <c r="AI66" s="326">
        <v>0</v>
      </c>
      <c r="AJ66" s="326">
        <v>0</v>
      </c>
      <c r="AK66" s="326">
        <v>0</v>
      </c>
      <c r="AL66" s="609">
        <f t="shared" si="136"/>
        <v>0</v>
      </c>
      <c r="AM66" s="493">
        <f>I66+AE66</f>
        <v>2079791</v>
      </c>
      <c r="AN66" s="492">
        <f>J66+V66</f>
        <v>1527983</v>
      </c>
      <c r="AO66" s="573">
        <f t="shared" si="137"/>
        <v>15000</v>
      </c>
      <c r="AP66" s="492">
        <f t="shared" si="138"/>
        <v>521528</v>
      </c>
      <c r="AQ66" s="492">
        <f t="shared" si="138"/>
        <v>15280</v>
      </c>
      <c r="AR66" s="492">
        <v>0</v>
      </c>
      <c r="AS66" s="491">
        <f t="shared" si="139"/>
        <v>2.64</v>
      </c>
    </row>
    <row r="67" spans="1:45" s="152" customFormat="1" x14ac:dyDescent="0.2">
      <c r="A67" s="140">
        <v>14</v>
      </c>
      <c r="B67" s="141">
        <v>4442</v>
      </c>
      <c r="C67" s="141">
        <v>600074901</v>
      </c>
      <c r="D67" s="141">
        <v>48283061</v>
      </c>
      <c r="E67" s="135" t="s">
        <v>166</v>
      </c>
      <c r="F67" s="141">
        <v>3143</v>
      </c>
      <c r="G67" s="117" t="s">
        <v>282</v>
      </c>
      <c r="H67" s="157" t="s">
        <v>263</v>
      </c>
      <c r="I67" s="580">
        <v>284607</v>
      </c>
      <c r="J67" s="490">
        <v>211133</v>
      </c>
      <c r="K67" s="490">
        <v>0</v>
      </c>
      <c r="L67" s="55">
        <v>71363</v>
      </c>
      <c r="M67" s="55">
        <v>2111</v>
      </c>
      <c r="N67" s="55">
        <v>0</v>
      </c>
      <c r="O67" s="614">
        <v>0.39</v>
      </c>
      <c r="P67" s="440">
        <f t="shared" si="129"/>
        <v>0</v>
      </c>
      <c r="Q67" s="325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 t="shared" si="130"/>
        <v>0</v>
      </c>
      <c r="W67" s="325">
        <v>0</v>
      </c>
      <c r="X67" s="325">
        <v>0</v>
      </c>
      <c r="Y67" s="325">
        <v>0</v>
      </c>
      <c r="Z67" s="492">
        <f t="shared" si="131"/>
        <v>0</v>
      </c>
      <c r="AA67" s="492">
        <f t="shared" si="132"/>
        <v>0</v>
      </c>
      <c r="AB67" s="494">
        <f t="shared" si="133"/>
        <v>0</v>
      </c>
      <c r="AC67" s="494">
        <f t="shared" si="134"/>
        <v>0</v>
      </c>
      <c r="AD67" s="492">
        <v>0</v>
      </c>
      <c r="AE67" s="753">
        <f t="shared" si="135"/>
        <v>0</v>
      </c>
      <c r="AF67" s="688">
        <v>0</v>
      </c>
      <c r="AG67" s="326">
        <v>0</v>
      </c>
      <c r="AH67" s="326">
        <v>0</v>
      </c>
      <c r="AI67" s="326">
        <v>0</v>
      </c>
      <c r="AJ67" s="326">
        <v>0</v>
      </c>
      <c r="AK67" s="326">
        <v>0</v>
      </c>
      <c r="AL67" s="609">
        <f t="shared" si="136"/>
        <v>0</v>
      </c>
      <c r="AM67" s="493">
        <f>I67+AE67</f>
        <v>284607</v>
      </c>
      <c r="AN67" s="492">
        <f>J67+V67</f>
        <v>211133</v>
      </c>
      <c r="AO67" s="573">
        <f t="shared" si="137"/>
        <v>0</v>
      </c>
      <c r="AP67" s="492">
        <f t="shared" si="138"/>
        <v>71363</v>
      </c>
      <c r="AQ67" s="492">
        <f t="shared" si="138"/>
        <v>2111</v>
      </c>
      <c r="AR67" s="492">
        <v>0</v>
      </c>
      <c r="AS67" s="491">
        <f t="shared" si="139"/>
        <v>0.39</v>
      </c>
    </row>
    <row r="68" spans="1:45" s="152" customFormat="1" x14ac:dyDescent="0.2">
      <c r="A68" s="107">
        <v>14</v>
      </c>
      <c r="B68" s="15">
        <v>4442</v>
      </c>
      <c r="C68" s="15">
        <v>600074901</v>
      </c>
      <c r="D68" s="15">
        <v>48283061</v>
      </c>
      <c r="E68" s="116" t="s">
        <v>167</v>
      </c>
      <c r="F68" s="15"/>
      <c r="G68" s="106"/>
      <c r="H68" s="555"/>
      <c r="I68" s="758">
        <v>21842061</v>
      </c>
      <c r="J68" s="343">
        <v>16164599</v>
      </c>
      <c r="K68" s="343">
        <v>39000</v>
      </c>
      <c r="L68" s="343">
        <v>5476816</v>
      </c>
      <c r="M68" s="343">
        <v>161646</v>
      </c>
      <c r="N68" s="343">
        <v>0</v>
      </c>
      <c r="O68" s="35">
        <v>23.44</v>
      </c>
      <c r="P68" s="346">
        <f t="shared" ref="P68:AS68" si="140">SUM(P64:P67)</f>
        <v>-26000</v>
      </c>
      <c r="Q68" s="343">
        <f t="shared" si="140"/>
        <v>0</v>
      </c>
      <c r="R68" s="343">
        <f t="shared" si="140"/>
        <v>0</v>
      </c>
      <c r="S68" s="343">
        <f t="shared" si="140"/>
        <v>0</v>
      </c>
      <c r="T68" s="343">
        <f t="shared" si="140"/>
        <v>0</v>
      </c>
      <c r="U68" s="343">
        <f t="shared" si="140"/>
        <v>0</v>
      </c>
      <c r="V68" s="343">
        <f t="shared" si="140"/>
        <v>-26000</v>
      </c>
      <c r="W68" s="343">
        <f t="shared" si="140"/>
        <v>26000</v>
      </c>
      <c r="X68" s="343">
        <f t="shared" si="140"/>
        <v>0</v>
      </c>
      <c r="Y68" s="343">
        <f t="shared" si="140"/>
        <v>0</v>
      </c>
      <c r="Z68" s="343">
        <f t="shared" si="140"/>
        <v>26000</v>
      </c>
      <c r="AA68" s="343">
        <f t="shared" si="140"/>
        <v>0</v>
      </c>
      <c r="AB68" s="343">
        <f t="shared" si="140"/>
        <v>0</v>
      </c>
      <c r="AC68" s="343">
        <f t="shared" si="140"/>
        <v>-260</v>
      </c>
      <c r="AD68" s="343">
        <f t="shared" si="140"/>
        <v>0</v>
      </c>
      <c r="AE68" s="763">
        <f t="shared" si="140"/>
        <v>-260</v>
      </c>
      <c r="AF68" s="767">
        <f t="shared" si="140"/>
        <v>-0.02</v>
      </c>
      <c r="AG68" s="344">
        <f t="shared" si="140"/>
        <v>0</v>
      </c>
      <c r="AH68" s="344">
        <f t="shared" si="140"/>
        <v>0</v>
      </c>
      <c r="AI68" s="344">
        <f t="shared" si="140"/>
        <v>0</v>
      </c>
      <c r="AJ68" s="344">
        <f t="shared" si="140"/>
        <v>0</v>
      </c>
      <c r="AK68" s="344">
        <f t="shared" si="140"/>
        <v>0</v>
      </c>
      <c r="AL68" s="35">
        <f t="shared" si="140"/>
        <v>-0.02</v>
      </c>
      <c r="AM68" s="346">
        <f t="shared" si="140"/>
        <v>21841801</v>
      </c>
      <c r="AN68" s="343">
        <f t="shared" si="140"/>
        <v>16138599</v>
      </c>
      <c r="AO68" s="343">
        <f t="shared" si="140"/>
        <v>65000</v>
      </c>
      <c r="AP68" s="343">
        <f t="shared" si="140"/>
        <v>5476816</v>
      </c>
      <c r="AQ68" s="343">
        <f t="shared" si="140"/>
        <v>161386</v>
      </c>
      <c r="AR68" s="343">
        <f t="shared" si="140"/>
        <v>0</v>
      </c>
      <c r="AS68" s="344">
        <f t="shared" si="140"/>
        <v>23.42</v>
      </c>
    </row>
    <row r="69" spans="1:45" s="152" customFormat="1" x14ac:dyDescent="0.2">
      <c r="A69" s="140">
        <v>15</v>
      </c>
      <c r="B69" s="141">
        <v>4436</v>
      </c>
      <c r="C69" s="141">
        <v>600074986</v>
      </c>
      <c r="D69" s="141">
        <v>70982198</v>
      </c>
      <c r="E69" s="139" t="s">
        <v>168</v>
      </c>
      <c r="F69" s="141">
        <v>3113</v>
      </c>
      <c r="G69" s="117" t="s">
        <v>280</v>
      </c>
      <c r="H69" s="560" t="s">
        <v>262</v>
      </c>
      <c r="I69" s="580">
        <v>29287277</v>
      </c>
      <c r="J69" s="490">
        <v>21708601</v>
      </c>
      <c r="K69" s="490">
        <v>18000</v>
      </c>
      <c r="L69" s="55">
        <v>7343591</v>
      </c>
      <c r="M69" s="55">
        <v>217085</v>
      </c>
      <c r="N69" s="55">
        <v>0</v>
      </c>
      <c r="O69" s="614">
        <v>29.37</v>
      </c>
      <c r="P69" s="445">
        <f>W69*-1</f>
        <v>-12000</v>
      </c>
      <c r="Q69" s="325">
        <v>0</v>
      </c>
      <c r="R69" s="325">
        <v>0</v>
      </c>
      <c r="S69" s="325">
        <v>0</v>
      </c>
      <c r="T69" s="325">
        <v>0</v>
      </c>
      <c r="U69" s="325">
        <v>0</v>
      </c>
      <c r="V69" s="492">
        <f t="shared" ref="V69:V71" si="141">P69+Q69+R69+S69+T69+U69</f>
        <v>-12000</v>
      </c>
      <c r="W69" s="325">
        <v>12000</v>
      </c>
      <c r="X69" s="325">
        <v>0</v>
      </c>
      <c r="Y69" s="325">
        <v>0</v>
      </c>
      <c r="Z69" s="492">
        <f t="shared" ref="Z69:Z71" si="142">W69+X69+Y69</f>
        <v>12000</v>
      </c>
      <c r="AA69" s="492">
        <f t="shared" ref="AA69:AA71" si="143">V69+Z69</f>
        <v>0</v>
      </c>
      <c r="AB69" s="494">
        <f t="shared" ref="AB69:AB71" si="144">ROUND((V69+Z69)*33.8%,0)</f>
        <v>0</v>
      </c>
      <c r="AC69" s="494">
        <f t="shared" ref="AC69:AC71" si="145">ROUND(V69*1%,0)</f>
        <v>-120</v>
      </c>
      <c r="AD69" s="492">
        <v>0</v>
      </c>
      <c r="AE69" s="753">
        <f t="shared" ref="AE69:AE71" si="146">AA69+AB69+AC69+AD69</f>
        <v>-120</v>
      </c>
      <c r="AF69" s="688">
        <v>-0.02</v>
      </c>
      <c r="AG69" s="326">
        <v>0</v>
      </c>
      <c r="AH69" s="326">
        <v>0</v>
      </c>
      <c r="AI69" s="326">
        <v>0</v>
      </c>
      <c r="AJ69" s="326">
        <v>0</v>
      </c>
      <c r="AK69" s="326">
        <v>0</v>
      </c>
      <c r="AL69" s="609">
        <f t="shared" ref="AL69:AL71" si="147">SUM(AF69:AK69)</f>
        <v>-0.02</v>
      </c>
      <c r="AM69" s="493">
        <f>I69+AE69</f>
        <v>29287157</v>
      </c>
      <c r="AN69" s="492">
        <f>J69+V69</f>
        <v>21696601</v>
      </c>
      <c r="AO69" s="573">
        <f t="shared" ref="AO69:AO71" si="148">K69+Z69</f>
        <v>30000</v>
      </c>
      <c r="AP69" s="492">
        <f t="shared" ref="AP69:AQ71" si="149">L69+AB69</f>
        <v>7343591</v>
      </c>
      <c r="AQ69" s="492">
        <f t="shared" si="149"/>
        <v>216965</v>
      </c>
      <c r="AR69" s="492">
        <v>0</v>
      </c>
      <c r="AS69" s="491">
        <f t="shared" ref="AS69:AS71" si="150">O69+AL69</f>
        <v>29.35</v>
      </c>
    </row>
    <row r="70" spans="1:45" s="152" customFormat="1" x14ac:dyDescent="0.2">
      <c r="A70" s="140">
        <v>15</v>
      </c>
      <c r="B70" s="141">
        <v>4436</v>
      </c>
      <c r="C70" s="141">
        <v>600074986</v>
      </c>
      <c r="D70" s="141">
        <v>70982198</v>
      </c>
      <c r="E70" s="139" t="s">
        <v>168</v>
      </c>
      <c r="F70" s="141">
        <v>3113</v>
      </c>
      <c r="G70" s="117" t="s">
        <v>278</v>
      </c>
      <c r="H70" s="560" t="s">
        <v>263</v>
      </c>
      <c r="I70" s="580">
        <v>3504033</v>
      </c>
      <c r="J70" s="490">
        <v>2599431</v>
      </c>
      <c r="K70" s="490">
        <v>0</v>
      </c>
      <c r="L70" s="55">
        <v>878608</v>
      </c>
      <c r="M70" s="55">
        <v>25994</v>
      </c>
      <c r="N70" s="55">
        <v>0</v>
      </c>
      <c r="O70" s="614">
        <v>6.52</v>
      </c>
      <c r="P70" s="440">
        <f>W70*-1</f>
        <v>0</v>
      </c>
      <c r="Q70" s="325">
        <v>-459317</v>
      </c>
      <c r="R70" s="325">
        <v>0</v>
      </c>
      <c r="S70" s="325">
        <v>0</v>
      </c>
      <c r="T70" s="325">
        <v>0</v>
      </c>
      <c r="U70" s="325">
        <v>0</v>
      </c>
      <c r="V70" s="492">
        <f t="shared" si="141"/>
        <v>-459317</v>
      </c>
      <c r="W70" s="325">
        <v>0</v>
      </c>
      <c r="X70" s="325">
        <v>0</v>
      </c>
      <c r="Y70" s="325">
        <v>0</v>
      </c>
      <c r="Z70" s="492">
        <f t="shared" si="142"/>
        <v>0</v>
      </c>
      <c r="AA70" s="492">
        <f t="shared" si="143"/>
        <v>-459317</v>
      </c>
      <c r="AB70" s="494">
        <f t="shared" si="144"/>
        <v>-155249</v>
      </c>
      <c r="AC70" s="494">
        <f t="shared" si="145"/>
        <v>-4593</v>
      </c>
      <c r="AD70" s="492">
        <v>0</v>
      </c>
      <c r="AE70" s="753">
        <f t="shared" si="146"/>
        <v>-619159</v>
      </c>
      <c r="AF70" s="688">
        <v>0</v>
      </c>
      <c r="AG70" s="326">
        <v>-1.1499999999999999</v>
      </c>
      <c r="AH70" s="326">
        <v>0</v>
      </c>
      <c r="AI70" s="326">
        <v>0</v>
      </c>
      <c r="AJ70" s="326">
        <v>0</v>
      </c>
      <c r="AK70" s="326">
        <v>0</v>
      </c>
      <c r="AL70" s="609">
        <f t="shared" si="147"/>
        <v>-1.1499999999999999</v>
      </c>
      <c r="AM70" s="493">
        <f>I70+AE70</f>
        <v>2884874</v>
      </c>
      <c r="AN70" s="492">
        <f>J70+V70</f>
        <v>2140114</v>
      </c>
      <c r="AO70" s="573">
        <f t="shared" si="148"/>
        <v>0</v>
      </c>
      <c r="AP70" s="492">
        <f t="shared" si="149"/>
        <v>723359</v>
      </c>
      <c r="AQ70" s="492">
        <f t="shared" si="149"/>
        <v>21401</v>
      </c>
      <c r="AR70" s="492">
        <v>0</v>
      </c>
      <c r="AS70" s="491">
        <f t="shared" si="150"/>
        <v>5.3699999999999992</v>
      </c>
    </row>
    <row r="71" spans="1:45" s="152" customFormat="1" x14ac:dyDescent="0.2">
      <c r="A71" s="140">
        <v>15</v>
      </c>
      <c r="B71" s="141">
        <v>4436</v>
      </c>
      <c r="C71" s="141">
        <v>600074986</v>
      </c>
      <c r="D71" s="141">
        <v>70982198</v>
      </c>
      <c r="E71" s="135" t="s">
        <v>168</v>
      </c>
      <c r="F71" s="141">
        <v>3143</v>
      </c>
      <c r="G71" s="117" t="s">
        <v>794</v>
      </c>
      <c r="H71" s="157" t="s">
        <v>262</v>
      </c>
      <c r="I71" s="580">
        <v>2709130</v>
      </c>
      <c r="J71" s="490">
        <v>2006762</v>
      </c>
      <c r="K71" s="490">
        <v>3000</v>
      </c>
      <c r="L71" s="55">
        <v>679300</v>
      </c>
      <c r="M71" s="55">
        <v>20068</v>
      </c>
      <c r="N71" s="55">
        <v>0</v>
      </c>
      <c r="O71" s="614">
        <v>3.66</v>
      </c>
      <c r="P71" s="440">
        <f>W71*-1</f>
        <v>-2000</v>
      </c>
      <c r="Q71" s="325">
        <v>0</v>
      </c>
      <c r="R71" s="325">
        <v>0</v>
      </c>
      <c r="S71" s="325">
        <v>0</v>
      </c>
      <c r="T71" s="325">
        <v>0</v>
      </c>
      <c r="U71" s="325">
        <v>0</v>
      </c>
      <c r="V71" s="492">
        <f t="shared" si="141"/>
        <v>-2000</v>
      </c>
      <c r="W71" s="325">
        <v>2000</v>
      </c>
      <c r="X71" s="325">
        <v>0</v>
      </c>
      <c r="Y71" s="325">
        <v>0</v>
      </c>
      <c r="Z71" s="492">
        <f t="shared" si="142"/>
        <v>2000</v>
      </c>
      <c r="AA71" s="492">
        <f t="shared" si="143"/>
        <v>0</v>
      </c>
      <c r="AB71" s="494">
        <f t="shared" si="144"/>
        <v>0</v>
      </c>
      <c r="AC71" s="494">
        <f t="shared" si="145"/>
        <v>-20</v>
      </c>
      <c r="AD71" s="492">
        <v>0</v>
      </c>
      <c r="AE71" s="753">
        <f t="shared" si="146"/>
        <v>-20</v>
      </c>
      <c r="AF71" s="688">
        <v>0</v>
      </c>
      <c r="AG71" s="326">
        <v>0</v>
      </c>
      <c r="AH71" s="326">
        <v>0</v>
      </c>
      <c r="AI71" s="326">
        <v>0</v>
      </c>
      <c r="AJ71" s="326">
        <v>0</v>
      </c>
      <c r="AK71" s="326">
        <v>0</v>
      </c>
      <c r="AL71" s="609">
        <f t="shared" si="147"/>
        <v>0</v>
      </c>
      <c r="AM71" s="493">
        <f>I71+AE71</f>
        <v>2709110</v>
      </c>
      <c r="AN71" s="492">
        <f>J71+V71</f>
        <v>2004762</v>
      </c>
      <c r="AO71" s="573">
        <f t="shared" si="148"/>
        <v>5000</v>
      </c>
      <c r="AP71" s="492">
        <f t="shared" si="149"/>
        <v>679300</v>
      </c>
      <c r="AQ71" s="492">
        <f t="shared" si="149"/>
        <v>20048</v>
      </c>
      <c r="AR71" s="492">
        <v>0</v>
      </c>
      <c r="AS71" s="491">
        <f t="shared" si="150"/>
        <v>3.66</v>
      </c>
    </row>
    <row r="72" spans="1:45" s="152" customFormat="1" x14ac:dyDescent="0.2">
      <c r="A72" s="107">
        <v>15</v>
      </c>
      <c r="B72" s="15">
        <v>4436</v>
      </c>
      <c r="C72" s="15">
        <v>600074986</v>
      </c>
      <c r="D72" s="15">
        <v>70982198</v>
      </c>
      <c r="E72" s="116" t="s">
        <v>169</v>
      </c>
      <c r="F72" s="15"/>
      <c r="G72" s="106"/>
      <c r="H72" s="555"/>
      <c r="I72" s="758">
        <v>35500440</v>
      </c>
      <c r="J72" s="343">
        <v>26314794</v>
      </c>
      <c r="K72" s="343">
        <v>21000</v>
      </c>
      <c r="L72" s="343">
        <v>8901499</v>
      </c>
      <c r="M72" s="343">
        <v>263147</v>
      </c>
      <c r="N72" s="343">
        <v>0</v>
      </c>
      <c r="O72" s="35">
        <v>39.549999999999997</v>
      </c>
      <c r="P72" s="346">
        <f t="shared" ref="P72:AS72" si="151">SUM(P69:P71)</f>
        <v>-14000</v>
      </c>
      <c r="Q72" s="343">
        <f t="shared" si="151"/>
        <v>-459317</v>
      </c>
      <c r="R72" s="343">
        <f t="shared" si="151"/>
        <v>0</v>
      </c>
      <c r="S72" s="343">
        <f t="shared" si="151"/>
        <v>0</v>
      </c>
      <c r="T72" s="343">
        <f t="shared" si="151"/>
        <v>0</v>
      </c>
      <c r="U72" s="343">
        <f t="shared" si="151"/>
        <v>0</v>
      </c>
      <c r="V72" s="343">
        <f t="shared" si="151"/>
        <v>-473317</v>
      </c>
      <c r="W72" s="343">
        <f t="shared" si="151"/>
        <v>14000</v>
      </c>
      <c r="X72" s="343">
        <f t="shared" si="151"/>
        <v>0</v>
      </c>
      <c r="Y72" s="343">
        <f t="shared" si="151"/>
        <v>0</v>
      </c>
      <c r="Z72" s="343">
        <f t="shared" si="151"/>
        <v>14000</v>
      </c>
      <c r="AA72" s="343">
        <f t="shared" si="151"/>
        <v>-459317</v>
      </c>
      <c r="AB72" s="343">
        <f t="shared" si="151"/>
        <v>-155249</v>
      </c>
      <c r="AC72" s="343">
        <f t="shared" si="151"/>
        <v>-4733</v>
      </c>
      <c r="AD72" s="343">
        <f t="shared" si="151"/>
        <v>0</v>
      </c>
      <c r="AE72" s="763">
        <f t="shared" si="151"/>
        <v>-619299</v>
      </c>
      <c r="AF72" s="767">
        <f t="shared" si="151"/>
        <v>-0.02</v>
      </c>
      <c r="AG72" s="344">
        <f t="shared" si="151"/>
        <v>-1.1499999999999999</v>
      </c>
      <c r="AH72" s="344">
        <f t="shared" si="151"/>
        <v>0</v>
      </c>
      <c r="AI72" s="344">
        <f t="shared" si="151"/>
        <v>0</v>
      </c>
      <c r="AJ72" s="344">
        <f t="shared" si="151"/>
        <v>0</v>
      </c>
      <c r="AK72" s="344">
        <f t="shared" si="151"/>
        <v>0</v>
      </c>
      <c r="AL72" s="35">
        <f t="shared" si="151"/>
        <v>-1.17</v>
      </c>
      <c r="AM72" s="346">
        <f t="shared" si="151"/>
        <v>34881141</v>
      </c>
      <c r="AN72" s="343">
        <f t="shared" si="151"/>
        <v>25841477</v>
      </c>
      <c r="AO72" s="343">
        <f t="shared" si="151"/>
        <v>35000</v>
      </c>
      <c r="AP72" s="343">
        <f t="shared" si="151"/>
        <v>8746250</v>
      </c>
      <c r="AQ72" s="343">
        <f t="shared" si="151"/>
        <v>258414</v>
      </c>
      <c r="AR72" s="343">
        <f t="shared" si="151"/>
        <v>0</v>
      </c>
      <c r="AS72" s="344">
        <f t="shared" si="151"/>
        <v>38.379999999999995</v>
      </c>
    </row>
    <row r="73" spans="1:45" s="152" customFormat="1" x14ac:dyDescent="0.2">
      <c r="A73" s="140">
        <v>16</v>
      </c>
      <c r="B73" s="141">
        <v>4454</v>
      </c>
      <c r="C73" s="141">
        <v>600074811</v>
      </c>
      <c r="D73" s="141">
        <v>48283070</v>
      </c>
      <c r="E73" s="139" t="s">
        <v>170</v>
      </c>
      <c r="F73" s="141">
        <v>3113</v>
      </c>
      <c r="G73" s="117" t="s">
        <v>280</v>
      </c>
      <c r="H73" s="560" t="s">
        <v>262</v>
      </c>
      <c r="I73" s="580">
        <v>31694708</v>
      </c>
      <c r="J73" s="490">
        <v>23448647</v>
      </c>
      <c r="K73" s="490">
        <v>64224</v>
      </c>
      <c r="L73" s="55">
        <v>7947350</v>
      </c>
      <c r="M73" s="55">
        <v>234487</v>
      </c>
      <c r="N73" s="55">
        <v>0</v>
      </c>
      <c r="O73" s="614">
        <v>30.14</v>
      </c>
      <c r="P73" s="445">
        <f>W73*-1</f>
        <v>-42816</v>
      </c>
      <c r="Q73" s="325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 t="shared" ref="V73:V76" si="152">P73+Q73+R73+S73+T73+U73</f>
        <v>-42816</v>
      </c>
      <c r="W73" s="325">
        <v>42816</v>
      </c>
      <c r="X73" s="325">
        <v>0</v>
      </c>
      <c r="Y73" s="325">
        <v>0</v>
      </c>
      <c r="Z73" s="492">
        <f t="shared" ref="Z73:Z76" si="153">W73+X73+Y73</f>
        <v>42816</v>
      </c>
      <c r="AA73" s="492">
        <f t="shared" ref="AA73:AA76" si="154">V73+Z73</f>
        <v>0</v>
      </c>
      <c r="AB73" s="494">
        <f t="shared" ref="AB73:AB76" si="155">ROUND((V73+Z73)*33.8%,0)</f>
        <v>0</v>
      </c>
      <c r="AC73" s="494">
        <f t="shared" ref="AC73:AC76" si="156">ROUND(V73*1%,0)</f>
        <v>-428</v>
      </c>
      <c r="AD73" s="492">
        <v>0</v>
      </c>
      <c r="AE73" s="753">
        <f t="shared" ref="AE73:AE76" si="157">AA73+AB73+AC73+AD73</f>
        <v>-428</v>
      </c>
      <c r="AF73" s="688">
        <v>-7.0000000000000007E-2</v>
      </c>
      <c r="AG73" s="326">
        <v>0</v>
      </c>
      <c r="AH73" s="326">
        <v>0</v>
      </c>
      <c r="AI73" s="326">
        <v>0</v>
      </c>
      <c r="AJ73" s="326">
        <v>0</v>
      </c>
      <c r="AK73" s="326">
        <v>0</v>
      </c>
      <c r="AL73" s="609">
        <f t="shared" ref="AL73:AL76" si="158">SUM(AF73:AK73)</f>
        <v>-7.0000000000000007E-2</v>
      </c>
      <c r="AM73" s="493">
        <f>I73+AE73</f>
        <v>31694280</v>
      </c>
      <c r="AN73" s="492">
        <f>J73+V73</f>
        <v>23405831</v>
      </c>
      <c r="AO73" s="573">
        <f t="shared" ref="AO73:AO76" si="159">K73+Z73</f>
        <v>107040</v>
      </c>
      <c r="AP73" s="492">
        <f t="shared" ref="AP73:AQ76" si="160">L73+AB73</f>
        <v>7947350</v>
      </c>
      <c r="AQ73" s="492">
        <f t="shared" si="160"/>
        <v>234059</v>
      </c>
      <c r="AR73" s="492">
        <v>0</v>
      </c>
      <c r="AS73" s="491">
        <f t="shared" ref="AS73:AS76" si="161">O73+AL73</f>
        <v>30.07</v>
      </c>
    </row>
    <row r="74" spans="1:45" s="152" customFormat="1" x14ac:dyDescent="0.2">
      <c r="A74" s="140">
        <v>16</v>
      </c>
      <c r="B74" s="141">
        <v>4454</v>
      </c>
      <c r="C74" s="141">
        <v>600074811</v>
      </c>
      <c r="D74" s="141">
        <v>48283070</v>
      </c>
      <c r="E74" s="139" t="s">
        <v>170</v>
      </c>
      <c r="F74" s="141">
        <v>3113</v>
      </c>
      <c r="G74" s="117" t="s">
        <v>799</v>
      </c>
      <c r="H74" s="560" t="s">
        <v>262</v>
      </c>
      <c r="I74" s="580">
        <v>170162</v>
      </c>
      <c r="J74" s="490">
        <v>126233</v>
      </c>
      <c r="K74" s="490">
        <v>0</v>
      </c>
      <c r="L74" s="55">
        <v>42667</v>
      </c>
      <c r="M74" s="55">
        <v>1262</v>
      </c>
      <c r="N74" s="55">
        <v>0</v>
      </c>
      <c r="O74" s="614">
        <v>0.23</v>
      </c>
      <c r="P74" s="445">
        <f>W74*-1</f>
        <v>0</v>
      </c>
      <c r="Q74" s="325">
        <v>0</v>
      </c>
      <c r="R74" s="325">
        <v>0</v>
      </c>
      <c r="S74" s="325">
        <v>0</v>
      </c>
      <c r="T74" s="325">
        <v>0</v>
      </c>
      <c r="U74" s="325">
        <v>0</v>
      </c>
      <c r="V74" s="492">
        <f t="shared" si="152"/>
        <v>0</v>
      </c>
      <c r="W74" s="325">
        <v>0</v>
      </c>
      <c r="X74" s="325">
        <v>0</v>
      </c>
      <c r="Y74" s="325">
        <v>0</v>
      </c>
      <c r="Z74" s="492">
        <f t="shared" si="153"/>
        <v>0</v>
      </c>
      <c r="AA74" s="492">
        <f t="shared" si="154"/>
        <v>0</v>
      </c>
      <c r="AB74" s="494">
        <f t="shared" si="155"/>
        <v>0</v>
      </c>
      <c r="AC74" s="494">
        <f t="shared" si="156"/>
        <v>0</v>
      </c>
      <c r="AD74" s="492">
        <v>0</v>
      </c>
      <c r="AE74" s="753">
        <f t="shared" si="157"/>
        <v>0</v>
      </c>
      <c r="AF74" s="688">
        <v>0</v>
      </c>
      <c r="AG74" s="326">
        <v>0</v>
      </c>
      <c r="AH74" s="326">
        <v>0</v>
      </c>
      <c r="AI74" s="326">
        <v>0</v>
      </c>
      <c r="AJ74" s="326">
        <v>0</v>
      </c>
      <c r="AK74" s="326">
        <v>0</v>
      </c>
      <c r="AL74" s="609">
        <f t="shared" si="158"/>
        <v>0</v>
      </c>
      <c r="AM74" s="493">
        <f>I74+AE74</f>
        <v>170162</v>
      </c>
      <c r="AN74" s="492">
        <f>J74+V74</f>
        <v>126233</v>
      </c>
      <c r="AO74" s="573">
        <f t="shared" si="159"/>
        <v>0</v>
      </c>
      <c r="AP74" s="492">
        <f t="shared" si="160"/>
        <v>42667</v>
      </c>
      <c r="AQ74" s="492">
        <f t="shared" si="160"/>
        <v>1262</v>
      </c>
      <c r="AR74" s="492">
        <v>0</v>
      </c>
      <c r="AS74" s="491">
        <f t="shared" si="161"/>
        <v>0.23</v>
      </c>
    </row>
    <row r="75" spans="1:45" s="152" customFormat="1" x14ac:dyDescent="0.2">
      <c r="A75" s="140">
        <v>16</v>
      </c>
      <c r="B75" s="141">
        <v>4454</v>
      </c>
      <c r="C75" s="141">
        <v>600074811</v>
      </c>
      <c r="D75" s="141">
        <v>48283070</v>
      </c>
      <c r="E75" s="139" t="s">
        <v>170</v>
      </c>
      <c r="F75" s="141">
        <v>3113</v>
      </c>
      <c r="G75" s="117" t="s">
        <v>278</v>
      </c>
      <c r="H75" s="560" t="s">
        <v>263</v>
      </c>
      <c r="I75" s="580">
        <v>4859366</v>
      </c>
      <c r="J75" s="490">
        <v>3604871</v>
      </c>
      <c r="K75" s="490">
        <v>0</v>
      </c>
      <c r="L75" s="55">
        <v>1218446</v>
      </c>
      <c r="M75" s="55">
        <v>36049</v>
      </c>
      <c r="N75" s="55">
        <v>0</v>
      </c>
      <c r="O75" s="614">
        <v>9</v>
      </c>
      <c r="P75" s="440">
        <f>W75*-1</f>
        <v>0</v>
      </c>
      <c r="Q75" s="325">
        <f>165353-148818</f>
        <v>16535</v>
      </c>
      <c r="R75" s="325">
        <v>0</v>
      </c>
      <c r="S75" s="325">
        <v>0</v>
      </c>
      <c r="T75" s="325">
        <v>0</v>
      </c>
      <c r="U75" s="325">
        <v>0</v>
      </c>
      <c r="V75" s="492">
        <f t="shared" si="152"/>
        <v>16535</v>
      </c>
      <c r="W75" s="325">
        <v>0</v>
      </c>
      <c r="X75" s="325">
        <v>0</v>
      </c>
      <c r="Y75" s="325">
        <v>0</v>
      </c>
      <c r="Z75" s="492">
        <f t="shared" si="153"/>
        <v>0</v>
      </c>
      <c r="AA75" s="492">
        <f t="shared" si="154"/>
        <v>16535</v>
      </c>
      <c r="AB75" s="494">
        <f t="shared" si="155"/>
        <v>5589</v>
      </c>
      <c r="AC75" s="494">
        <f t="shared" si="156"/>
        <v>165</v>
      </c>
      <c r="AD75" s="492">
        <v>0</v>
      </c>
      <c r="AE75" s="753">
        <f t="shared" si="157"/>
        <v>22289</v>
      </c>
      <c r="AF75" s="688">
        <v>0</v>
      </c>
      <c r="AG75" s="326">
        <f>0.42-0.38</f>
        <v>3.999999999999998E-2</v>
      </c>
      <c r="AH75" s="326">
        <v>0</v>
      </c>
      <c r="AI75" s="326">
        <v>0</v>
      </c>
      <c r="AJ75" s="326">
        <v>0</v>
      </c>
      <c r="AK75" s="326">
        <v>0</v>
      </c>
      <c r="AL75" s="609">
        <f t="shared" si="158"/>
        <v>3.999999999999998E-2</v>
      </c>
      <c r="AM75" s="493">
        <f>I75+AE75</f>
        <v>4881655</v>
      </c>
      <c r="AN75" s="492">
        <f>J75+V75</f>
        <v>3621406</v>
      </c>
      <c r="AO75" s="573">
        <f t="shared" si="159"/>
        <v>0</v>
      </c>
      <c r="AP75" s="492">
        <f t="shared" si="160"/>
        <v>1224035</v>
      </c>
      <c r="AQ75" s="492">
        <f t="shared" si="160"/>
        <v>36214</v>
      </c>
      <c r="AR75" s="492">
        <v>0</v>
      </c>
      <c r="AS75" s="491">
        <f t="shared" si="161"/>
        <v>9.0399999999999991</v>
      </c>
    </row>
    <row r="76" spans="1:45" s="152" customFormat="1" x14ac:dyDescent="0.2">
      <c r="A76" s="140">
        <v>16</v>
      </c>
      <c r="B76" s="141">
        <v>4454</v>
      </c>
      <c r="C76" s="141">
        <v>600074811</v>
      </c>
      <c r="D76" s="141">
        <v>48283070</v>
      </c>
      <c r="E76" s="135" t="s">
        <v>170</v>
      </c>
      <c r="F76" s="141">
        <v>3143</v>
      </c>
      <c r="G76" s="117" t="s">
        <v>794</v>
      </c>
      <c r="H76" s="157" t="s">
        <v>262</v>
      </c>
      <c r="I76" s="580">
        <v>3571295</v>
      </c>
      <c r="J76" s="490">
        <v>2637418</v>
      </c>
      <c r="K76" s="490">
        <v>12000</v>
      </c>
      <c r="L76" s="55">
        <v>895503</v>
      </c>
      <c r="M76" s="55">
        <v>26374</v>
      </c>
      <c r="N76" s="55">
        <v>0</v>
      </c>
      <c r="O76" s="614">
        <v>4.7</v>
      </c>
      <c r="P76" s="440">
        <f>W76*-1</f>
        <v>-8000</v>
      </c>
      <c r="Q76" s="325">
        <v>0</v>
      </c>
      <c r="R76" s="325">
        <v>0</v>
      </c>
      <c r="S76" s="325">
        <v>0</v>
      </c>
      <c r="T76" s="325">
        <v>0</v>
      </c>
      <c r="U76" s="325">
        <v>0</v>
      </c>
      <c r="V76" s="492">
        <f t="shared" si="152"/>
        <v>-8000</v>
      </c>
      <c r="W76" s="325">
        <v>8000</v>
      </c>
      <c r="X76" s="325">
        <v>0</v>
      </c>
      <c r="Y76" s="325">
        <v>0</v>
      </c>
      <c r="Z76" s="492">
        <f t="shared" si="153"/>
        <v>8000</v>
      </c>
      <c r="AA76" s="492">
        <f t="shared" si="154"/>
        <v>0</v>
      </c>
      <c r="AB76" s="494">
        <f t="shared" si="155"/>
        <v>0</v>
      </c>
      <c r="AC76" s="494">
        <f t="shared" si="156"/>
        <v>-80</v>
      </c>
      <c r="AD76" s="492">
        <v>0</v>
      </c>
      <c r="AE76" s="753">
        <f t="shared" si="157"/>
        <v>-80</v>
      </c>
      <c r="AF76" s="688">
        <v>0</v>
      </c>
      <c r="AG76" s="326">
        <v>0</v>
      </c>
      <c r="AH76" s="326">
        <v>0</v>
      </c>
      <c r="AI76" s="326">
        <v>0</v>
      </c>
      <c r="AJ76" s="326">
        <v>0</v>
      </c>
      <c r="AK76" s="326">
        <v>0</v>
      </c>
      <c r="AL76" s="609">
        <f t="shared" si="158"/>
        <v>0</v>
      </c>
      <c r="AM76" s="493">
        <f>I76+AE76</f>
        <v>3571215</v>
      </c>
      <c r="AN76" s="492">
        <f>J76+V76</f>
        <v>2629418</v>
      </c>
      <c r="AO76" s="573">
        <f t="shared" si="159"/>
        <v>20000</v>
      </c>
      <c r="AP76" s="492">
        <f t="shared" si="160"/>
        <v>895503</v>
      </c>
      <c r="AQ76" s="492">
        <f t="shared" si="160"/>
        <v>26294</v>
      </c>
      <c r="AR76" s="492">
        <v>0</v>
      </c>
      <c r="AS76" s="491">
        <f t="shared" si="161"/>
        <v>4.7</v>
      </c>
    </row>
    <row r="77" spans="1:45" s="152" customFormat="1" x14ac:dyDescent="0.2">
      <c r="A77" s="107">
        <v>16</v>
      </c>
      <c r="B77" s="15">
        <v>4454</v>
      </c>
      <c r="C77" s="15">
        <v>600074811</v>
      </c>
      <c r="D77" s="15">
        <v>48283070</v>
      </c>
      <c r="E77" s="116" t="s">
        <v>171</v>
      </c>
      <c r="F77" s="15"/>
      <c r="G77" s="106"/>
      <c r="H77" s="555"/>
      <c r="I77" s="758">
        <v>40295531</v>
      </c>
      <c r="J77" s="343">
        <v>29817169</v>
      </c>
      <c r="K77" s="343">
        <v>76224</v>
      </c>
      <c r="L77" s="343">
        <v>10103966</v>
      </c>
      <c r="M77" s="343">
        <v>298172</v>
      </c>
      <c r="N77" s="343">
        <v>0</v>
      </c>
      <c r="O77" s="35">
        <v>44.070000000000007</v>
      </c>
      <c r="P77" s="346">
        <f t="shared" ref="P77:AS77" si="162">SUM(P73:P76)</f>
        <v>-50816</v>
      </c>
      <c r="Q77" s="343">
        <f t="shared" si="162"/>
        <v>16535</v>
      </c>
      <c r="R77" s="343">
        <f t="shared" si="162"/>
        <v>0</v>
      </c>
      <c r="S77" s="343">
        <f t="shared" si="162"/>
        <v>0</v>
      </c>
      <c r="T77" s="343">
        <f t="shared" si="162"/>
        <v>0</v>
      </c>
      <c r="U77" s="343">
        <f t="shared" si="162"/>
        <v>0</v>
      </c>
      <c r="V77" s="343">
        <f t="shared" si="162"/>
        <v>-34281</v>
      </c>
      <c r="W77" s="343">
        <f t="shared" si="162"/>
        <v>50816</v>
      </c>
      <c r="X77" s="343">
        <f t="shared" si="162"/>
        <v>0</v>
      </c>
      <c r="Y77" s="343">
        <f t="shared" si="162"/>
        <v>0</v>
      </c>
      <c r="Z77" s="343">
        <f t="shared" si="162"/>
        <v>50816</v>
      </c>
      <c r="AA77" s="343">
        <f t="shared" si="162"/>
        <v>16535</v>
      </c>
      <c r="AB77" s="343">
        <f t="shared" si="162"/>
        <v>5589</v>
      </c>
      <c r="AC77" s="343">
        <f t="shared" si="162"/>
        <v>-343</v>
      </c>
      <c r="AD77" s="343">
        <f t="shared" si="162"/>
        <v>0</v>
      </c>
      <c r="AE77" s="763">
        <f t="shared" si="162"/>
        <v>21781</v>
      </c>
      <c r="AF77" s="767">
        <f t="shared" si="162"/>
        <v>-7.0000000000000007E-2</v>
      </c>
      <c r="AG77" s="344">
        <f t="shared" si="162"/>
        <v>3.999999999999998E-2</v>
      </c>
      <c r="AH77" s="344">
        <f t="shared" si="162"/>
        <v>0</v>
      </c>
      <c r="AI77" s="344">
        <f t="shared" si="162"/>
        <v>0</v>
      </c>
      <c r="AJ77" s="344">
        <f t="shared" si="162"/>
        <v>0</v>
      </c>
      <c r="AK77" s="344">
        <f t="shared" si="162"/>
        <v>0</v>
      </c>
      <c r="AL77" s="35">
        <f t="shared" si="162"/>
        <v>-3.0000000000000027E-2</v>
      </c>
      <c r="AM77" s="346">
        <f t="shared" si="162"/>
        <v>40317312</v>
      </c>
      <c r="AN77" s="343">
        <f t="shared" si="162"/>
        <v>29782888</v>
      </c>
      <c r="AO77" s="343">
        <f t="shared" si="162"/>
        <v>127040</v>
      </c>
      <c r="AP77" s="343">
        <f t="shared" si="162"/>
        <v>10109555</v>
      </c>
      <c r="AQ77" s="343">
        <f t="shared" si="162"/>
        <v>297829</v>
      </c>
      <c r="AR77" s="343">
        <f t="shared" si="162"/>
        <v>0</v>
      </c>
      <c r="AS77" s="344">
        <f t="shared" si="162"/>
        <v>44.040000000000006</v>
      </c>
    </row>
    <row r="78" spans="1:45" s="152" customFormat="1" x14ac:dyDescent="0.2">
      <c r="A78" s="140">
        <v>17</v>
      </c>
      <c r="B78" s="141">
        <v>4479</v>
      </c>
      <c r="C78" s="141">
        <v>600075150</v>
      </c>
      <c r="D78" s="141">
        <v>70982228</v>
      </c>
      <c r="E78" s="139" t="s">
        <v>172</v>
      </c>
      <c r="F78" s="141">
        <v>3111</v>
      </c>
      <c r="G78" s="117" t="s">
        <v>277</v>
      </c>
      <c r="H78" s="560" t="s">
        <v>262</v>
      </c>
      <c r="I78" s="580">
        <v>3357729</v>
      </c>
      <c r="J78" s="490">
        <v>2490897</v>
      </c>
      <c r="K78" s="490">
        <v>0</v>
      </c>
      <c r="L78" s="55">
        <v>841923</v>
      </c>
      <c r="M78" s="55">
        <v>24909</v>
      </c>
      <c r="N78" s="55">
        <v>0</v>
      </c>
      <c r="O78" s="614">
        <v>4</v>
      </c>
      <c r="P78" s="445">
        <f t="shared" ref="P78:P86" si="163">W78*-1</f>
        <v>0</v>
      </c>
      <c r="Q78" s="325">
        <v>0</v>
      </c>
      <c r="R78" s="325">
        <v>0</v>
      </c>
      <c r="S78" s="325">
        <v>0</v>
      </c>
      <c r="T78" s="325">
        <v>0</v>
      </c>
      <c r="U78" s="325">
        <v>0</v>
      </c>
      <c r="V78" s="492">
        <f t="shared" ref="V78:V86" si="164">P78+Q78+R78+S78+T78+U78</f>
        <v>0</v>
      </c>
      <c r="W78" s="325">
        <v>0</v>
      </c>
      <c r="X78" s="325">
        <v>0</v>
      </c>
      <c r="Y78" s="325">
        <v>0</v>
      </c>
      <c r="Z78" s="492">
        <f t="shared" ref="Z78:Z86" si="165">W78+X78+Y78</f>
        <v>0</v>
      </c>
      <c r="AA78" s="492">
        <f t="shared" ref="AA78:AA86" si="166">V78+Z78</f>
        <v>0</v>
      </c>
      <c r="AB78" s="494">
        <f t="shared" ref="AB78:AB86" si="167">ROUND((V78+Z78)*33.8%,0)</f>
        <v>0</v>
      </c>
      <c r="AC78" s="494">
        <f t="shared" ref="AC78:AC86" si="168">ROUND(V78*1%,0)</f>
        <v>0</v>
      </c>
      <c r="AD78" s="492">
        <v>0</v>
      </c>
      <c r="AE78" s="753">
        <f t="shared" ref="AE78:AE86" si="169">AA78+AB78+AC78+AD78</f>
        <v>0</v>
      </c>
      <c r="AF78" s="688">
        <v>0</v>
      </c>
      <c r="AG78" s="326">
        <v>0</v>
      </c>
      <c r="AH78" s="326">
        <v>0</v>
      </c>
      <c r="AI78" s="326">
        <v>0</v>
      </c>
      <c r="AJ78" s="326">
        <v>0</v>
      </c>
      <c r="AK78" s="326">
        <v>0</v>
      </c>
      <c r="AL78" s="609">
        <f t="shared" ref="AL78:AL86" si="170">SUM(AF78:AK78)</f>
        <v>0</v>
      </c>
      <c r="AM78" s="493">
        <f t="shared" ref="AM78:AM86" si="171">I78+AE78</f>
        <v>3357729</v>
      </c>
      <c r="AN78" s="492">
        <f t="shared" ref="AN78:AN86" si="172">J78+V78</f>
        <v>2490897</v>
      </c>
      <c r="AO78" s="573">
        <f t="shared" ref="AO78:AO86" si="173">K78+Z78</f>
        <v>0</v>
      </c>
      <c r="AP78" s="492">
        <f t="shared" ref="AP78:AQ86" si="174">L78+AB78</f>
        <v>841923</v>
      </c>
      <c r="AQ78" s="492">
        <f t="shared" si="174"/>
        <v>24909</v>
      </c>
      <c r="AR78" s="492">
        <v>0</v>
      </c>
      <c r="AS78" s="491">
        <f t="shared" ref="AS78:AS86" si="175">O78+AL78</f>
        <v>4</v>
      </c>
    </row>
    <row r="79" spans="1:45" s="152" customFormat="1" x14ac:dyDescent="0.2">
      <c r="A79" s="140">
        <v>17</v>
      </c>
      <c r="B79" s="141">
        <v>4479</v>
      </c>
      <c r="C79" s="141">
        <v>600075150</v>
      </c>
      <c r="D79" s="141">
        <v>70982228</v>
      </c>
      <c r="E79" s="139" t="s">
        <v>172</v>
      </c>
      <c r="F79" s="141">
        <v>3111</v>
      </c>
      <c r="G79" s="117" t="s">
        <v>279</v>
      </c>
      <c r="H79" s="560" t="s">
        <v>262</v>
      </c>
      <c r="I79" s="580">
        <v>582158</v>
      </c>
      <c r="J79" s="490">
        <v>431868</v>
      </c>
      <c r="K79" s="490">
        <v>0</v>
      </c>
      <c r="L79" s="55">
        <v>145971</v>
      </c>
      <c r="M79" s="55">
        <v>4319</v>
      </c>
      <c r="N79" s="55">
        <v>0</v>
      </c>
      <c r="O79" s="614">
        <v>1</v>
      </c>
      <c r="P79" s="440">
        <f t="shared" si="163"/>
        <v>0</v>
      </c>
      <c r="Q79" s="325">
        <v>0</v>
      </c>
      <c r="R79" s="325">
        <v>0</v>
      </c>
      <c r="S79" s="325">
        <v>0</v>
      </c>
      <c r="T79" s="325">
        <v>0</v>
      </c>
      <c r="U79" s="325">
        <v>0</v>
      </c>
      <c r="V79" s="492">
        <f t="shared" si="164"/>
        <v>0</v>
      </c>
      <c r="W79" s="325">
        <v>0</v>
      </c>
      <c r="X79" s="325">
        <v>0</v>
      </c>
      <c r="Y79" s="325">
        <v>0</v>
      </c>
      <c r="Z79" s="492">
        <f t="shared" si="165"/>
        <v>0</v>
      </c>
      <c r="AA79" s="492">
        <f t="shared" si="166"/>
        <v>0</v>
      </c>
      <c r="AB79" s="494">
        <f t="shared" si="167"/>
        <v>0</v>
      </c>
      <c r="AC79" s="494">
        <f t="shared" si="168"/>
        <v>0</v>
      </c>
      <c r="AD79" s="492">
        <v>0</v>
      </c>
      <c r="AE79" s="753">
        <f t="shared" si="169"/>
        <v>0</v>
      </c>
      <c r="AF79" s="688">
        <v>0</v>
      </c>
      <c r="AG79" s="326">
        <v>0</v>
      </c>
      <c r="AH79" s="326">
        <v>0</v>
      </c>
      <c r="AI79" s="326">
        <v>0</v>
      </c>
      <c r="AJ79" s="326">
        <v>0</v>
      </c>
      <c r="AK79" s="326">
        <v>0</v>
      </c>
      <c r="AL79" s="609">
        <f t="shared" si="170"/>
        <v>0</v>
      </c>
      <c r="AM79" s="493">
        <f t="shared" si="171"/>
        <v>582158</v>
      </c>
      <c r="AN79" s="492">
        <f t="shared" si="172"/>
        <v>431868</v>
      </c>
      <c r="AO79" s="573">
        <f t="shared" si="173"/>
        <v>0</v>
      </c>
      <c r="AP79" s="492">
        <f t="shared" si="174"/>
        <v>145971</v>
      </c>
      <c r="AQ79" s="492">
        <f t="shared" si="174"/>
        <v>4319</v>
      </c>
      <c r="AR79" s="492">
        <v>0</v>
      </c>
      <c r="AS79" s="491">
        <f t="shared" si="175"/>
        <v>1</v>
      </c>
    </row>
    <row r="80" spans="1:45" s="152" customFormat="1" x14ac:dyDescent="0.2">
      <c r="A80" s="140">
        <v>17</v>
      </c>
      <c r="B80" s="141">
        <v>4479</v>
      </c>
      <c r="C80" s="141">
        <v>600075150</v>
      </c>
      <c r="D80" s="141">
        <v>70982228</v>
      </c>
      <c r="E80" s="139" t="s">
        <v>172</v>
      </c>
      <c r="F80" s="141">
        <v>3114</v>
      </c>
      <c r="G80" s="117" t="s">
        <v>511</v>
      </c>
      <c r="H80" s="560" t="s">
        <v>262</v>
      </c>
      <c r="I80" s="580">
        <v>37984410</v>
      </c>
      <c r="J80" s="490">
        <v>28178346</v>
      </c>
      <c r="K80" s="490">
        <v>0</v>
      </c>
      <c r="L80" s="55">
        <v>9524281</v>
      </c>
      <c r="M80" s="55">
        <v>281783</v>
      </c>
      <c r="N80" s="55">
        <v>0</v>
      </c>
      <c r="O80" s="614">
        <v>36.090000000000003</v>
      </c>
      <c r="P80" s="440">
        <f t="shared" si="163"/>
        <v>0</v>
      </c>
      <c r="Q80" s="325">
        <v>0</v>
      </c>
      <c r="R80" s="325">
        <v>0</v>
      </c>
      <c r="S80" s="325">
        <v>0</v>
      </c>
      <c r="T80" s="325">
        <v>0</v>
      </c>
      <c r="U80" s="325">
        <v>0</v>
      </c>
      <c r="V80" s="492">
        <f t="shared" si="164"/>
        <v>0</v>
      </c>
      <c r="W80" s="325">
        <v>0</v>
      </c>
      <c r="X80" s="325">
        <v>0</v>
      </c>
      <c r="Y80" s="325">
        <v>0</v>
      </c>
      <c r="Z80" s="492">
        <f t="shared" si="165"/>
        <v>0</v>
      </c>
      <c r="AA80" s="492">
        <f t="shared" si="166"/>
        <v>0</v>
      </c>
      <c r="AB80" s="494">
        <f t="shared" si="167"/>
        <v>0</v>
      </c>
      <c r="AC80" s="494">
        <f t="shared" si="168"/>
        <v>0</v>
      </c>
      <c r="AD80" s="492">
        <v>0</v>
      </c>
      <c r="AE80" s="753">
        <f t="shared" si="169"/>
        <v>0</v>
      </c>
      <c r="AF80" s="688">
        <v>0</v>
      </c>
      <c r="AG80" s="326">
        <v>0</v>
      </c>
      <c r="AH80" s="326">
        <v>0</v>
      </c>
      <c r="AI80" s="326">
        <v>0</v>
      </c>
      <c r="AJ80" s="326">
        <v>0</v>
      </c>
      <c r="AK80" s="326">
        <v>0</v>
      </c>
      <c r="AL80" s="609">
        <f t="shared" si="170"/>
        <v>0</v>
      </c>
      <c r="AM80" s="493">
        <f t="shared" si="171"/>
        <v>37984410</v>
      </c>
      <c r="AN80" s="492">
        <f t="shared" si="172"/>
        <v>28178346</v>
      </c>
      <c r="AO80" s="573">
        <f t="shared" si="173"/>
        <v>0</v>
      </c>
      <c r="AP80" s="492">
        <f t="shared" si="174"/>
        <v>9524281</v>
      </c>
      <c r="AQ80" s="492">
        <f t="shared" si="174"/>
        <v>281783</v>
      </c>
      <c r="AR80" s="492">
        <v>0</v>
      </c>
      <c r="AS80" s="491">
        <f t="shared" si="175"/>
        <v>36.090000000000003</v>
      </c>
    </row>
    <row r="81" spans="1:45" s="152" customFormat="1" x14ac:dyDescent="0.2">
      <c r="A81" s="140">
        <v>17</v>
      </c>
      <c r="B81" s="141">
        <v>4479</v>
      </c>
      <c r="C81" s="141">
        <v>600075150</v>
      </c>
      <c r="D81" s="141">
        <v>70982228</v>
      </c>
      <c r="E81" s="139" t="s">
        <v>172</v>
      </c>
      <c r="F81" s="141">
        <v>3114</v>
      </c>
      <c r="G81" s="117" t="s">
        <v>279</v>
      </c>
      <c r="H81" s="560" t="s">
        <v>262</v>
      </c>
      <c r="I81" s="580">
        <v>11665632</v>
      </c>
      <c r="J81" s="490">
        <v>8654030</v>
      </c>
      <c r="K81" s="490">
        <v>0</v>
      </c>
      <c r="L81" s="55">
        <v>2925062</v>
      </c>
      <c r="M81" s="55">
        <v>86540</v>
      </c>
      <c r="N81" s="55">
        <v>0</v>
      </c>
      <c r="O81" s="614">
        <v>20.149999999999999</v>
      </c>
      <c r="P81" s="440">
        <f t="shared" si="163"/>
        <v>0</v>
      </c>
      <c r="Q81" s="325">
        <v>0</v>
      </c>
      <c r="R81" s="325">
        <v>0</v>
      </c>
      <c r="S81" s="325">
        <v>0</v>
      </c>
      <c r="T81" s="325">
        <v>0</v>
      </c>
      <c r="U81" s="325">
        <v>0</v>
      </c>
      <c r="V81" s="492">
        <f t="shared" si="164"/>
        <v>0</v>
      </c>
      <c r="W81" s="325">
        <v>0</v>
      </c>
      <c r="X81" s="325">
        <v>0</v>
      </c>
      <c r="Y81" s="325">
        <v>0</v>
      </c>
      <c r="Z81" s="492">
        <f t="shared" si="165"/>
        <v>0</v>
      </c>
      <c r="AA81" s="492">
        <f t="shared" si="166"/>
        <v>0</v>
      </c>
      <c r="AB81" s="494">
        <f t="shared" si="167"/>
        <v>0</v>
      </c>
      <c r="AC81" s="494">
        <f t="shared" si="168"/>
        <v>0</v>
      </c>
      <c r="AD81" s="492">
        <v>0</v>
      </c>
      <c r="AE81" s="753">
        <f t="shared" si="169"/>
        <v>0</v>
      </c>
      <c r="AF81" s="688">
        <v>0</v>
      </c>
      <c r="AG81" s="326">
        <v>0</v>
      </c>
      <c r="AH81" s="326">
        <v>0</v>
      </c>
      <c r="AI81" s="326">
        <v>0</v>
      </c>
      <c r="AJ81" s="326">
        <v>0</v>
      </c>
      <c r="AK81" s="326">
        <v>0</v>
      </c>
      <c r="AL81" s="609">
        <f t="shared" si="170"/>
        <v>0</v>
      </c>
      <c r="AM81" s="493">
        <f t="shared" si="171"/>
        <v>11665632</v>
      </c>
      <c r="AN81" s="492">
        <f t="shared" si="172"/>
        <v>8654030</v>
      </c>
      <c r="AO81" s="573">
        <f t="shared" si="173"/>
        <v>0</v>
      </c>
      <c r="AP81" s="492">
        <f t="shared" si="174"/>
        <v>2925062</v>
      </c>
      <c r="AQ81" s="492">
        <f t="shared" si="174"/>
        <v>86540</v>
      </c>
      <c r="AR81" s="492">
        <v>0</v>
      </c>
      <c r="AS81" s="491">
        <f t="shared" si="175"/>
        <v>20.149999999999999</v>
      </c>
    </row>
    <row r="82" spans="1:45" s="152" customFormat="1" x14ac:dyDescent="0.2">
      <c r="A82" s="140">
        <v>17</v>
      </c>
      <c r="B82" s="141">
        <v>4479</v>
      </c>
      <c r="C82" s="141">
        <v>600075150</v>
      </c>
      <c r="D82" s="141">
        <v>70982228</v>
      </c>
      <c r="E82" s="139" t="s">
        <v>172</v>
      </c>
      <c r="F82" s="141">
        <v>3114</v>
      </c>
      <c r="G82" s="117" t="s">
        <v>278</v>
      </c>
      <c r="H82" s="560" t="s">
        <v>263</v>
      </c>
      <c r="I82" s="580">
        <v>327333</v>
      </c>
      <c r="J82" s="490">
        <v>242829</v>
      </c>
      <c r="K82" s="490">
        <v>0</v>
      </c>
      <c r="L82" s="55">
        <v>82076</v>
      </c>
      <c r="M82" s="55">
        <v>2428</v>
      </c>
      <c r="N82" s="55">
        <v>0</v>
      </c>
      <c r="O82" s="614">
        <v>0.46</v>
      </c>
      <c r="P82" s="440">
        <f t="shared" si="163"/>
        <v>0</v>
      </c>
      <c r="Q82" s="325">
        <v>0</v>
      </c>
      <c r="R82" s="325">
        <v>0</v>
      </c>
      <c r="S82" s="325">
        <v>0</v>
      </c>
      <c r="T82" s="325">
        <v>0</v>
      </c>
      <c r="U82" s="325">
        <v>0</v>
      </c>
      <c r="V82" s="492">
        <f t="shared" si="164"/>
        <v>0</v>
      </c>
      <c r="W82" s="325">
        <v>0</v>
      </c>
      <c r="X82" s="325">
        <v>0</v>
      </c>
      <c r="Y82" s="325">
        <v>0</v>
      </c>
      <c r="Z82" s="492">
        <f t="shared" si="165"/>
        <v>0</v>
      </c>
      <c r="AA82" s="492">
        <f t="shared" si="166"/>
        <v>0</v>
      </c>
      <c r="AB82" s="494">
        <f t="shared" si="167"/>
        <v>0</v>
      </c>
      <c r="AC82" s="494">
        <f t="shared" si="168"/>
        <v>0</v>
      </c>
      <c r="AD82" s="492">
        <v>0</v>
      </c>
      <c r="AE82" s="753">
        <f t="shared" si="169"/>
        <v>0</v>
      </c>
      <c r="AF82" s="688">
        <v>0</v>
      </c>
      <c r="AG82" s="326">
        <v>0</v>
      </c>
      <c r="AH82" s="326">
        <v>0</v>
      </c>
      <c r="AI82" s="326">
        <v>0</v>
      </c>
      <c r="AJ82" s="326">
        <v>0</v>
      </c>
      <c r="AK82" s="326">
        <v>0</v>
      </c>
      <c r="AL82" s="609">
        <f t="shared" si="170"/>
        <v>0</v>
      </c>
      <c r="AM82" s="493">
        <f t="shared" si="171"/>
        <v>327333</v>
      </c>
      <c r="AN82" s="492">
        <f t="shared" si="172"/>
        <v>242829</v>
      </c>
      <c r="AO82" s="573">
        <f t="shared" si="173"/>
        <v>0</v>
      </c>
      <c r="AP82" s="492">
        <f t="shared" si="174"/>
        <v>82076</v>
      </c>
      <c r="AQ82" s="492">
        <f t="shared" si="174"/>
        <v>2428</v>
      </c>
      <c r="AR82" s="492">
        <v>0</v>
      </c>
      <c r="AS82" s="491">
        <f t="shared" si="175"/>
        <v>0.46</v>
      </c>
    </row>
    <row r="83" spans="1:45" s="152" customFormat="1" x14ac:dyDescent="0.2">
      <c r="A83" s="140">
        <v>17</v>
      </c>
      <c r="B83" s="141">
        <v>4479</v>
      </c>
      <c r="C83" s="141">
        <v>600075150</v>
      </c>
      <c r="D83" s="141">
        <v>70982228</v>
      </c>
      <c r="E83" s="139" t="s">
        <v>172</v>
      </c>
      <c r="F83" s="141">
        <v>3124</v>
      </c>
      <c r="G83" s="117" t="s">
        <v>285</v>
      </c>
      <c r="H83" s="560" t="s">
        <v>262</v>
      </c>
      <c r="I83" s="580">
        <v>3762981</v>
      </c>
      <c r="J83" s="490">
        <v>2791529</v>
      </c>
      <c r="K83" s="490">
        <v>0</v>
      </c>
      <c r="L83" s="55">
        <v>943537</v>
      </c>
      <c r="M83" s="55">
        <v>27915</v>
      </c>
      <c r="N83" s="55">
        <v>0</v>
      </c>
      <c r="O83" s="614">
        <v>3.43</v>
      </c>
      <c r="P83" s="440">
        <f t="shared" si="163"/>
        <v>0</v>
      </c>
      <c r="Q83" s="325">
        <v>0</v>
      </c>
      <c r="R83" s="325">
        <v>0</v>
      </c>
      <c r="S83" s="325">
        <v>0</v>
      </c>
      <c r="T83" s="325">
        <v>0</v>
      </c>
      <c r="U83" s="325">
        <v>0</v>
      </c>
      <c r="V83" s="492">
        <f t="shared" si="164"/>
        <v>0</v>
      </c>
      <c r="W83" s="325">
        <v>0</v>
      </c>
      <c r="X83" s="325">
        <v>0</v>
      </c>
      <c r="Y83" s="325">
        <v>0</v>
      </c>
      <c r="Z83" s="492">
        <f t="shared" si="165"/>
        <v>0</v>
      </c>
      <c r="AA83" s="492">
        <f t="shared" si="166"/>
        <v>0</v>
      </c>
      <c r="AB83" s="494">
        <f t="shared" si="167"/>
        <v>0</v>
      </c>
      <c r="AC83" s="494">
        <f t="shared" si="168"/>
        <v>0</v>
      </c>
      <c r="AD83" s="492">
        <v>0</v>
      </c>
      <c r="AE83" s="753">
        <f t="shared" si="169"/>
        <v>0</v>
      </c>
      <c r="AF83" s="688">
        <v>0</v>
      </c>
      <c r="AG83" s="326">
        <v>0</v>
      </c>
      <c r="AH83" s="326">
        <v>0</v>
      </c>
      <c r="AI83" s="326">
        <v>0</v>
      </c>
      <c r="AJ83" s="326">
        <v>0</v>
      </c>
      <c r="AK83" s="326">
        <v>0</v>
      </c>
      <c r="AL83" s="609">
        <f t="shared" si="170"/>
        <v>0</v>
      </c>
      <c r="AM83" s="493">
        <f t="shared" si="171"/>
        <v>3762981</v>
      </c>
      <c r="AN83" s="492">
        <f t="shared" si="172"/>
        <v>2791529</v>
      </c>
      <c r="AO83" s="573">
        <f t="shared" si="173"/>
        <v>0</v>
      </c>
      <c r="AP83" s="492">
        <f t="shared" si="174"/>
        <v>943537</v>
      </c>
      <c r="AQ83" s="492">
        <f t="shared" si="174"/>
        <v>27915</v>
      </c>
      <c r="AR83" s="492">
        <v>0</v>
      </c>
      <c r="AS83" s="491">
        <f t="shared" si="175"/>
        <v>3.43</v>
      </c>
    </row>
    <row r="84" spans="1:45" s="152" customFormat="1" x14ac:dyDescent="0.2">
      <c r="A84" s="140">
        <v>17</v>
      </c>
      <c r="B84" s="141">
        <v>4479</v>
      </c>
      <c r="C84" s="141">
        <v>600075150</v>
      </c>
      <c r="D84" s="141">
        <v>70982228</v>
      </c>
      <c r="E84" s="139" t="s">
        <v>172</v>
      </c>
      <c r="F84" s="141">
        <v>3124</v>
      </c>
      <c r="G84" s="117" t="s">
        <v>286</v>
      </c>
      <c r="H84" s="560" t="s">
        <v>262</v>
      </c>
      <c r="I84" s="580">
        <v>833435</v>
      </c>
      <c r="J84" s="490">
        <v>618275</v>
      </c>
      <c r="K84" s="490">
        <v>0</v>
      </c>
      <c r="L84" s="55">
        <v>208977</v>
      </c>
      <c r="M84" s="55">
        <v>6183</v>
      </c>
      <c r="N84" s="55">
        <v>0</v>
      </c>
      <c r="O84" s="614">
        <v>1.78</v>
      </c>
      <c r="P84" s="440">
        <f t="shared" si="163"/>
        <v>0</v>
      </c>
      <c r="Q84" s="325">
        <v>0</v>
      </c>
      <c r="R84" s="325">
        <v>0</v>
      </c>
      <c r="S84" s="325">
        <v>0</v>
      </c>
      <c r="T84" s="325">
        <v>0</v>
      </c>
      <c r="U84" s="325">
        <v>0</v>
      </c>
      <c r="V84" s="492">
        <f t="shared" si="164"/>
        <v>0</v>
      </c>
      <c r="W84" s="325">
        <v>0</v>
      </c>
      <c r="X84" s="325">
        <v>0</v>
      </c>
      <c r="Y84" s="325">
        <v>0</v>
      </c>
      <c r="Z84" s="492">
        <f t="shared" si="165"/>
        <v>0</v>
      </c>
      <c r="AA84" s="492">
        <f t="shared" si="166"/>
        <v>0</v>
      </c>
      <c r="AB84" s="494">
        <f t="shared" si="167"/>
        <v>0</v>
      </c>
      <c r="AC84" s="494">
        <f t="shared" si="168"/>
        <v>0</v>
      </c>
      <c r="AD84" s="492">
        <v>0</v>
      </c>
      <c r="AE84" s="753">
        <f t="shared" si="169"/>
        <v>0</v>
      </c>
      <c r="AF84" s="688">
        <v>0</v>
      </c>
      <c r="AG84" s="326">
        <v>0</v>
      </c>
      <c r="AH84" s="326">
        <v>0</v>
      </c>
      <c r="AI84" s="326">
        <v>0</v>
      </c>
      <c r="AJ84" s="326">
        <v>0</v>
      </c>
      <c r="AK84" s="326">
        <v>0</v>
      </c>
      <c r="AL84" s="609">
        <f t="shared" si="170"/>
        <v>0</v>
      </c>
      <c r="AM84" s="493">
        <f t="shared" si="171"/>
        <v>833435</v>
      </c>
      <c r="AN84" s="492">
        <f t="shared" si="172"/>
        <v>618275</v>
      </c>
      <c r="AO84" s="573">
        <f t="shared" si="173"/>
        <v>0</v>
      </c>
      <c r="AP84" s="492">
        <f t="shared" si="174"/>
        <v>208977</v>
      </c>
      <c r="AQ84" s="492">
        <f t="shared" si="174"/>
        <v>6183</v>
      </c>
      <c r="AR84" s="492">
        <v>0</v>
      </c>
      <c r="AS84" s="491">
        <f t="shared" si="175"/>
        <v>1.78</v>
      </c>
    </row>
    <row r="85" spans="1:45" s="152" customFormat="1" x14ac:dyDescent="0.2">
      <c r="A85" s="140">
        <v>17</v>
      </c>
      <c r="B85" s="141">
        <v>4479</v>
      </c>
      <c r="C85" s="141">
        <v>600075150</v>
      </c>
      <c r="D85" s="141">
        <v>70982228</v>
      </c>
      <c r="E85" s="139" t="s">
        <v>172</v>
      </c>
      <c r="F85" s="141">
        <v>3143</v>
      </c>
      <c r="G85" s="117" t="s">
        <v>794</v>
      </c>
      <c r="H85" s="157" t="s">
        <v>262</v>
      </c>
      <c r="I85" s="580">
        <v>3250510</v>
      </c>
      <c r="J85" s="490">
        <v>2411357</v>
      </c>
      <c r="K85" s="490">
        <v>0</v>
      </c>
      <c r="L85" s="55">
        <v>815039</v>
      </c>
      <c r="M85" s="55">
        <v>24114</v>
      </c>
      <c r="N85" s="55">
        <v>0</v>
      </c>
      <c r="O85" s="614">
        <v>4.55</v>
      </c>
      <c r="P85" s="440">
        <f t="shared" si="163"/>
        <v>0</v>
      </c>
      <c r="Q85" s="325">
        <v>0</v>
      </c>
      <c r="R85" s="325">
        <v>0</v>
      </c>
      <c r="S85" s="325">
        <v>0</v>
      </c>
      <c r="T85" s="325">
        <v>0</v>
      </c>
      <c r="U85" s="325">
        <v>0</v>
      </c>
      <c r="V85" s="492">
        <f t="shared" si="164"/>
        <v>0</v>
      </c>
      <c r="W85" s="325">
        <v>0</v>
      </c>
      <c r="X85" s="325">
        <v>0</v>
      </c>
      <c r="Y85" s="325">
        <v>0</v>
      </c>
      <c r="Z85" s="492">
        <f t="shared" si="165"/>
        <v>0</v>
      </c>
      <c r="AA85" s="492">
        <f t="shared" si="166"/>
        <v>0</v>
      </c>
      <c r="AB85" s="494">
        <f t="shared" si="167"/>
        <v>0</v>
      </c>
      <c r="AC85" s="494">
        <f t="shared" si="168"/>
        <v>0</v>
      </c>
      <c r="AD85" s="492">
        <v>0</v>
      </c>
      <c r="AE85" s="753">
        <f t="shared" si="169"/>
        <v>0</v>
      </c>
      <c r="AF85" s="688">
        <v>0</v>
      </c>
      <c r="AG85" s="326">
        <v>0</v>
      </c>
      <c r="AH85" s="326">
        <v>0</v>
      </c>
      <c r="AI85" s="326">
        <v>0</v>
      </c>
      <c r="AJ85" s="326">
        <v>0</v>
      </c>
      <c r="AK85" s="326">
        <v>0</v>
      </c>
      <c r="AL85" s="609">
        <f t="shared" si="170"/>
        <v>0</v>
      </c>
      <c r="AM85" s="493">
        <f t="shared" si="171"/>
        <v>3250510</v>
      </c>
      <c r="AN85" s="492">
        <f t="shared" si="172"/>
        <v>2411357</v>
      </c>
      <c r="AO85" s="573">
        <f t="shared" si="173"/>
        <v>0</v>
      </c>
      <c r="AP85" s="492">
        <f t="shared" si="174"/>
        <v>815039</v>
      </c>
      <c r="AQ85" s="492">
        <f t="shared" si="174"/>
        <v>24114</v>
      </c>
      <c r="AR85" s="492">
        <v>0</v>
      </c>
      <c r="AS85" s="491">
        <f t="shared" si="175"/>
        <v>4.55</v>
      </c>
    </row>
    <row r="86" spans="1:45" s="152" customFormat="1" x14ac:dyDescent="0.2">
      <c r="A86" s="140">
        <v>17</v>
      </c>
      <c r="B86" s="141">
        <v>4479</v>
      </c>
      <c r="C86" s="141">
        <v>600075150</v>
      </c>
      <c r="D86" s="141">
        <v>70982228</v>
      </c>
      <c r="E86" s="139" t="s">
        <v>172</v>
      </c>
      <c r="F86" s="141">
        <v>3143</v>
      </c>
      <c r="G86" s="117" t="s">
        <v>282</v>
      </c>
      <c r="H86" s="157" t="s">
        <v>263</v>
      </c>
      <c r="I86" s="580">
        <v>258732</v>
      </c>
      <c r="J86" s="490">
        <v>191938</v>
      </c>
      <c r="K86" s="490">
        <v>0</v>
      </c>
      <c r="L86" s="55">
        <v>64875</v>
      </c>
      <c r="M86" s="55">
        <v>1919</v>
      </c>
      <c r="N86" s="55">
        <v>0</v>
      </c>
      <c r="O86" s="614">
        <v>0.36</v>
      </c>
      <c r="P86" s="440">
        <f t="shared" si="163"/>
        <v>0</v>
      </c>
      <c r="Q86" s="325">
        <v>0</v>
      </c>
      <c r="R86" s="325">
        <v>0</v>
      </c>
      <c r="S86" s="325">
        <v>0</v>
      </c>
      <c r="T86" s="325">
        <v>0</v>
      </c>
      <c r="U86" s="325">
        <v>0</v>
      </c>
      <c r="V86" s="492">
        <f t="shared" si="164"/>
        <v>0</v>
      </c>
      <c r="W86" s="325">
        <v>0</v>
      </c>
      <c r="X86" s="325">
        <v>0</v>
      </c>
      <c r="Y86" s="325">
        <v>0</v>
      </c>
      <c r="Z86" s="492">
        <f t="shared" si="165"/>
        <v>0</v>
      </c>
      <c r="AA86" s="492">
        <f t="shared" si="166"/>
        <v>0</v>
      </c>
      <c r="AB86" s="494">
        <f t="shared" si="167"/>
        <v>0</v>
      </c>
      <c r="AC86" s="494">
        <f t="shared" si="168"/>
        <v>0</v>
      </c>
      <c r="AD86" s="492">
        <v>0</v>
      </c>
      <c r="AE86" s="753">
        <f t="shared" si="169"/>
        <v>0</v>
      </c>
      <c r="AF86" s="688">
        <v>0</v>
      </c>
      <c r="AG86" s="326">
        <v>0</v>
      </c>
      <c r="AH86" s="326">
        <v>0</v>
      </c>
      <c r="AI86" s="326">
        <v>0</v>
      </c>
      <c r="AJ86" s="326">
        <v>0</v>
      </c>
      <c r="AK86" s="326">
        <v>0</v>
      </c>
      <c r="AL86" s="609">
        <f t="shared" si="170"/>
        <v>0</v>
      </c>
      <c r="AM86" s="493">
        <f t="shared" si="171"/>
        <v>258732</v>
      </c>
      <c r="AN86" s="492">
        <f t="shared" si="172"/>
        <v>191938</v>
      </c>
      <c r="AO86" s="573">
        <f t="shared" si="173"/>
        <v>0</v>
      </c>
      <c r="AP86" s="492">
        <f t="shared" si="174"/>
        <v>64875</v>
      </c>
      <c r="AQ86" s="492">
        <f t="shared" si="174"/>
        <v>1919</v>
      </c>
      <c r="AR86" s="492">
        <v>0</v>
      </c>
      <c r="AS86" s="491">
        <f t="shared" si="175"/>
        <v>0.36</v>
      </c>
    </row>
    <row r="87" spans="1:45" s="152" customFormat="1" x14ac:dyDescent="0.2">
      <c r="A87" s="107">
        <v>17</v>
      </c>
      <c r="B87" s="15">
        <v>4479</v>
      </c>
      <c r="C87" s="15">
        <v>600075150</v>
      </c>
      <c r="D87" s="15">
        <v>70982228</v>
      </c>
      <c r="E87" s="116" t="s">
        <v>173</v>
      </c>
      <c r="F87" s="15"/>
      <c r="G87" s="106"/>
      <c r="H87" s="555"/>
      <c r="I87" s="758">
        <v>62022920</v>
      </c>
      <c r="J87" s="343">
        <v>46011069</v>
      </c>
      <c r="K87" s="343">
        <v>0</v>
      </c>
      <c r="L87" s="343">
        <v>15551741</v>
      </c>
      <c r="M87" s="343">
        <v>460110</v>
      </c>
      <c r="N87" s="343">
        <v>0</v>
      </c>
      <c r="O87" s="35">
        <v>71.820000000000007</v>
      </c>
      <c r="P87" s="346">
        <f t="shared" ref="P87:AS87" si="176">SUM(P78:P86)</f>
        <v>0</v>
      </c>
      <c r="Q87" s="343">
        <f t="shared" si="176"/>
        <v>0</v>
      </c>
      <c r="R87" s="343">
        <f t="shared" si="176"/>
        <v>0</v>
      </c>
      <c r="S87" s="343">
        <f t="shared" si="176"/>
        <v>0</v>
      </c>
      <c r="T87" s="343">
        <f t="shared" si="176"/>
        <v>0</v>
      </c>
      <c r="U87" s="343">
        <f t="shared" si="176"/>
        <v>0</v>
      </c>
      <c r="V87" s="343">
        <f t="shared" si="176"/>
        <v>0</v>
      </c>
      <c r="W87" s="343">
        <f t="shared" si="176"/>
        <v>0</v>
      </c>
      <c r="X87" s="343">
        <f t="shared" si="176"/>
        <v>0</v>
      </c>
      <c r="Y87" s="343">
        <f t="shared" si="176"/>
        <v>0</v>
      </c>
      <c r="Z87" s="343">
        <f t="shared" si="176"/>
        <v>0</v>
      </c>
      <c r="AA87" s="343">
        <f t="shared" si="176"/>
        <v>0</v>
      </c>
      <c r="AB87" s="343">
        <f t="shared" si="176"/>
        <v>0</v>
      </c>
      <c r="AC87" s="343">
        <f t="shared" si="176"/>
        <v>0</v>
      </c>
      <c r="AD87" s="343">
        <f t="shared" si="176"/>
        <v>0</v>
      </c>
      <c r="AE87" s="763">
        <f t="shared" si="176"/>
        <v>0</v>
      </c>
      <c r="AF87" s="767">
        <f t="shared" si="176"/>
        <v>0</v>
      </c>
      <c r="AG87" s="344">
        <f t="shared" si="176"/>
        <v>0</v>
      </c>
      <c r="AH87" s="344">
        <f t="shared" si="176"/>
        <v>0</v>
      </c>
      <c r="AI87" s="344">
        <f t="shared" si="176"/>
        <v>0</v>
      </c>
      <c r="AJ87" s="344">
        <f t="shared" si="176"/>
        <v>0</v>
      </c>
      <c r="AK87" s="344">
        <f t="shared" si="176"/>
        <v>0</v>
      </c>
      <c r="AL87" s="35">
        <f t="shared" si="176"/>
        <v>0</v>
      </c>
      <c r="AM87" s="346">
        <f t="shared" si="176"/>
        <v>62022920</v>
      </c>
      <c r="AN87" s="343">
        <f t="shared" si="176"/>
        <v>46011069</v>
      </c>
      <c r="AO87" s="343">
        <f t="shared" si="176"/>
        <v>0</v>
      </c>
      <c r="AP87" s="343">
        <f t="shared" si="176"/>
        <v>15551741</v>
      </c>
      <c r="AQ87" s="343">
        <f t="shared" si="176"/>
        <v>460110</v>
      </c>
      <c r="AR87" s="343">
        <f t="shared" si="176"/>
        <v>0</v>
      </c>
      <c r="AS87" s="344">
        <f t="shared" si="176"/>
        <v>71.820000000000007</v>
      </c>
    </row>
    <row r="88" spans="1:45" s="152" customFormat="1" x14ac:dyDescent="0.2">
      <c r="A88" s="140">
        <v>18</v>
      </c>
      <c r="B88" s="141">
        <v>4473</v>
      </c>
      <c r="C88" s="141">
        <v>600075117</v>
      </c>
      <c r="D88" s="141">
        <v>62237021</v>
      </c>
      <c r="E88" s="139" t="s">
        <v>174</v>
      </c>
      <c r="F88" s="141">
        <v>3231</v>
      </c>
      <c r="G88" s="117" t="s">
        <v>281</v>
      </c>
      <c r="H88" s="560" t="s">
        <v>262</v>
      </c>
      <c r="I88" s="580">
        <v>33847769</v>
      </c>
      <c r="J88" s="490">
        <v>25109621</v>
      </c>
      <c r="K88" s="490">
        <v>0</v>
      </c>
      <c r="L88" s="55">
        <v>8487052</v>
      </c>
      <c r="M88" s="55">
        <v>251096</v>
      </c>
      <c r="N88" s="55">
        <v>0</v>
      </c>
      <c r="O88" s="614">
        <v>37.64</v>
      </c>
      <c r="P88" s="445">
        <f>(W88*-1)-Y88</f>
        <v>0</v>
      </c>
      <c r="Q88" s="325">
        <v>0</v>
      </c>
      <c r="R88" s="325">
        <v>0</v>
      </c>
      <c r="S88" s="325">
        <v>0</v>
      </c>
      <c r="T88" s="325">
        <v>0</v>
      </c>
      <c r="U88" s="325">
        <v>0</v>
      </c>
      <c r="V88" s="492">
        <f>P88+Q88+R88+S88+T88+U88</f>
        <v>0</v>
      </c>
      <c r="W88" s="325">
        <v>0</v>
      </c>
      <c r="X88" s="325">
        <v>0</v>
      </c>
      <c r="Y88" s="325">
        <v>0</v>
      </c>
      <c r="Z88" s="492">
        <f>W88+X88+Y88</f>
        <v>0</v>
      </c>
      <c r="AA88" s="492">
        <f>V88+Z88</f>
        <v>0</v>
      </c>
      <c r="AB88" s="494">
        <f>ROUND((V88+Z88)*33.8%,0)</f>
        <v>0</v>
      </c>
      <c r="AC88" s="494">
        <f>ROUND(V88*1%,0)</f>
        <v>0</v>
      </c>
      <c r="AD88" s="492">
        <v>0</v>
      </c>
      <c r="AE88" s="753">
        <f>AA88+AB88+AC88+AD88</f>
        <v>0</v>
      </c>
      <c r="AF88" s="688">
        <v>0</v>
      </c>
      <c r="AG88" s="326">
        <v>0</v>
      </c>
      <c r="AH88" s="326">
        <v>0</v>
      </c>
      <c r="AI88" s="326">
        <v>0</v>
      </c>
      <c r="AJ88" s="326">
        <v>0</v>
      </c>
      <c r="AK88" s="326">
        <v>0</v>
      </c>
      <c r="AL88" s="609">
        <f>SUM(AF88:AK88)</f>
        <v>0</v>
      </c>
      <c r="AM88" s="493">
        <f>I88+AE88</f>
        <v>33847769</v>
      </c>
      <c r="AN88" s="492">
        <f>J88+V88</f>
        <v>25109621</v>
      </c>
      <c r="AO88" s="573">
        <f>K88+Z88</f>
        <v>0</v>
      </c>
      <c r="AP88" s="492">
        <f>L88+AB88</f>
        <v>8487052</v>
      </c>
      <c r="AQ88" s="492">
        <f>M88+AC88</f>
        <v>251096</v>
      </c>
      <c r="AR88" s="492">
        <v>0</v>
      </c>
      <c r="AS88" s="491">
        <f>O88+AL88</f>
        <v>37.64</v>
      </c>
    </row>
    <row r="89" spans="1:45" s="152" customFormat="1" x14ac:dyDescent="0.2">
      <c r="A89" s="107">
        <v>18</v>
      </c>
      <c r="B89" s="15">
        <v>4473</v>
      </c>
      <c r="C89" s="15">
        <v>600075117</v>
      </c>
      <c r="D89" s="15">
        <v>62237021</v>
      </c>
      <c r="E89" s="116" t="s">
        <v>175</v>
      </c>
      <c r="F89" s="15"/>
      <c r="G89" s="106"/>
      <c r="H89" s="555"/>
      <c r="I89" s="758">
        <v>33847769</v>
      </c>
      <c r="J89" s="343">
        <v>25109621</v>
      </c>
      <c r="K89" s="343">
        <v>0</v>
      </c>
      <c r="L89" s="343">
        <v>8487052</v>
      </c>
      <c r="M89" s="343">
        <v>251096</v>
      </c>
      <c r="N89" s="343">
        <v>0</v>
      </c>
      <c r="O89" s="35">
        <v>37.64</v>
      </c>
      <c r="P89" s="346">
        <f t="shared" ref="P89:AS89" si="177">SUM(P88)</f>
        <v>0</v>
      </c>
      <c r="Q89" s="343">
        <f t="shared" si="177"/>
        <v>0</v>
      </c>
      <c r="R89" s="343">
        <f t="shared" si="177"/>
        <v>0</v>
      </c>
      <c r="S89" s="343">
        <f t="shared" si="177"/>
        <v>0</v>
      </c>
      <c r="T89" s="343">
        <f t="shared" si="177"/>
        <v>0</v>
      </c>
      <c r="U89" s="343">
        <f t="shared" si="177"/>
        <v>0</v>
      </c>
      <c r="V89" s="343">
        <f t="shared" si="177"/>
        <v>0</v>
      </c>
      <c r="W89" s="343">
        <f t="shared" si="177"/>
        <v>0</v>
      </c>
      <c r="X89" s="343">
        <f t="shared" si="177"/>
        <v>0</v>
      </c>
      <c r="Y89" s="343">
        <f t="shared" si="177"/>
        <v>0</v>
      </c>
      <c r="Z89" s="343">
        <f t="shared" si="177"/>
        <v>0</v>
      </c>
      <c r="AA89" s="343">
        <f t="shared" si="177"/>
        <v>0</v>
      </c>
      <c r="AB89" s="343">
        <f t="shared" si="177"/>
        <v>0</v>
      </c>
      <c r="AC89" s="343">
        <f t="shared" si="177"/>
        <v>0</v>
      </c>
      <c r="AD89" s="343">
        <f t="shared" si="177"/>
        <v>0</v>
      </c>
      <c r="AE89" s="763">
        <f t="shared" si="177"/>
        <v>0</v>
      </c>
      <c r="AF89" s="767">
        <f t="shared" si="177"/>
        <v>0</v>
      </c>
      <c r="AG89" s="344">
        <f t="shared" si="177"/>
        <v>0</v>
      </c>
      <c r="AH89" s="344">
        <f t="shared" si="177"/>
        <v>0</v>
      </c>
      <c r="AI89" s="344">
        <f t="shared" si="177"/>
        <v>0</v>
      </c>
      <c r="AJ89" s="344">
        <f t="shared" si="177"/>
        <v>0</v>
      </c>
      <c r="AK89" s="344">
        <f t="shared" si="177"/>
        <v>0</v>
      </c>
      <c r="AL89" s="35">
        <f t="shared" si="177"/>
        <v>0</v>
      </c>
      <c r="AM89" s="346">
        <f t="shared" si="177"/>
        <v>33847769</v>
      </c>
      <c r="AN89" s="343">
        <f t="shared" si="177"/>
        <v>25109621</v>
      </c>
      <c r="AO89" s="343">
        <f t="shared" si="177"/>
        <v>0</v>
      </c>
      <c r="AP89" s="343">
        <f t="shared" si="177"/>
        <v>8487052</v>
      </c>
      <c r="AQ89" s="343">
        <f t="shared" si="177"/>
        <v>251096</v>
      </c>
      <c r="AR89" s="343">
        <f t="shared" si="177"/>
        <v>0</v>
      </c>
      <c r="AS89" s="344">
        <f t="shared" si="177"/>
        <v>37.64</v>
      </c>
    </row>
    <row r="90" spans="1:45" s="152" customFormat="1" x14ac:dyDescent="0.2">
      <c r="A90" s="140">
        <v>19</v>
      </c>
      <c r="B90" s="141">
        <v>4485</v>
      </c>
      <c r="C90" s="141">
        <v>600074102</v>
      </c>
      <c r="D90" s="141">
        <v>70695113</v>
      </c>
      <c r="E90" s="139" t="s">
        <v>176</v>
      </c>
      <c r="F90" s="141">
        <v>3111</v>
      </c>
      <c r="G90" s="117" t="s">
        <v>277</v>
      </c>
      <c r="H90" s="560" t="s">
        <v>262</v>
      </c>
      <c r="I90" s="580">
        <v>3138294</v>
      </c>
      <c r="J90" s="490">
        <v>2307267</v>
      </c>
      <c r="K90" s="490">
        <v>21000</v>
      </c>
      <c r="L90" s="55">
        <v>786954</v>
      </c>
      <c r="M90" s="55">
        <v>23073</v>
      </c>
      <c r="N90" s="55">
        <v>0</v>
      </c>
      <c r="O90" s="614">
        <v>3.97</v>
      </c>
      <c r="P90" s="445">
        <f>W90*-1</f>
        <v>-14000</v>
      </c>
      <c r="Q90" s="325">
        <v>0</v>
      </c>
      <c r="R90" s="325">
        <v>0</v>
      </c>
      <c r="S90" s="325">
        <v>0</v>
      </c>
      <c r="T90" s="325">
        <v>0</v>
      </c>
      <c r="U90" s="325">
        <v>0</v>
      </c>
      <c r="V90" s="492">
        <f t="shared" ref="V90:V91" si="178">P90+Q90+R90+S90+T90+U90</f>
        <v>-14000</v>
      </c>
      <c r="W90" s="325">
        <v>14000</v>
      </c>
      <c r="X90" s="325">
        <v>0</v>
      </c>
      <c r="Y90" s="325">
        <v>0</v>
      </c>
      <c r="Z90" s="492">
        <f t="shared" ref="Z90:Z91" si="179">W90+X90+Y90</f>
        <v>14000</v>
      </c>
      <c r="AA90" s="492">
        <f t="shared" ref="AA90:AA91" si="180">V90+Z90</f>
        <v>0</v>
      </c>
      <c r="AB90" s="494">
        <f t="shared" ref="AB90:AB91" si="181">ROUND((V90+Z90)*33.8%,0)</f>
        <v>0</v>
      </c>
      <c r="AC90" s="494">
        <f t="shared" ref="AC90:AC91" si="182">ROUND(V90*1%,0)</f>
        <v>-140</v>
      </c>
      <c r="AD90" s="492">
        <v>0</v>
      </c>
      <c r="AE90" s="753">
        <f t="shared" ref="AE90:AE91" si="183">AA90+AB90+AC90+AD90</f>
        <v>-140</v>
      </c>
      <c r="AF90" s="688">
        <v>-0.02</v>
      </c>
      <c r="AG90" s="326">
        <v>0</v>
      </c>
      <c r="AH90" s="326">
        <v>0</v>
      </c>
      <c r="AI90" s="326">
        <v>0</v>
      </c>
      <c r="AJ90" s="326">
        <v>0</v>
      </c>
      <c r="AK90" s="326">
        <v>0</v>
      </c>
      <c r="AL90" s="609">
        <f t="shared" ref="AL90:AL91" si="184">SUM(AF90:AK90)</f>
        <v>-0.02</v>
      </c>
      <c r="AM90" s="493">
        <f>I90+AE90</f>
        <v>3138154</v>
      </c>
      <c r="AN90" s="492">
        <f>J90+V90</f>
        <v>2293267</v>
      </c>
      <c r="AO90" s="573">
        <f t="shared" ref="AO90:AO91" si="185">K90+Z90</f>
        <v>35000</v>
      </c>
      <c r="AP90" s="492">
        <f>L90+AB90</f>
        <v>786954</v>
      </c>
      <c r="AQ90" s="492">
        <f>M90+AC90</f>
        <v>22933</v>
      </c>
      <c r="AR90" s="492">
        <v>0</v>
      </c>
      <c r="AS90" s="491">
        <f t="shared" ref="AS90:AS91" si="186">O90+AL90</f>
        <v>3.95</v>
      </c>
    </row>
    <row r="91" spans="1:45" s="152" customFormat="1" x14ac:dyDescent="0.2">
      <c r="A91" s="140">
        <v>19</v>
      </c>
      <c r="B91" s="141">
        <v>4485</v>
      </c>
      <c r="C91" s="141">
        <v>600074102</v>
      </c>
      <c r="D91" s="141">
        <v>70695113</v>
      </c>
      <c r="E91" s="139" t="s">
        <v>176</v>
      </c>
      <c r="F91" s="141">
        <v>3111</v>
      </c>
      <c r="G91" s="117" t="s">
        <v>278</v>
      </c>
      <c r="H91" s="560" t="s">
        <v>263</v>
      </c>
      <c r="I91" s="580">
        <v>401213</v>
      </c>
      <c r="J91" s="490">
        <v>297636</v>
      </c>
      <c r="K91" s="490">
        <v>0</v>
      </c>
      <c r="L91" s="55">
        <v>100601</v>
      </c>
      <c r="M91" s="55">
        <v>2976</v>
      </c>
      <c r="N91" s="55">
        <v>0</v>
      </c>
      <c r="O91" s="614">
        <v>0.75</v>
      </c>
      <c r="P91" s="440">
        <f>W91*-1</f>
        <v>0</v>
      </c>
      <c r="Q91" s="325">
        <v>0</v>
      </c>
      <c r="R91" s="325">
        <v>0</v>
      </c>
      <c r="S91" s="325">
        <v>0</v>
      </c>
      <c r="T91" s="325">
        <v>0</v>
      </c>
      <c r="U91" s="325">
        <v>0</v>
      </c>
      <c r="V91" s="492">
        <f t="shared" si="178"/>
        <v>0</v>
      </c>
      <c r="W91" s="325">
        <v>0</v>
      </c>
      <c r="X91" s="325">
        <v>0</v>
      </c>
      <c r="Y91" s="325">
        <v>0</v>
      </c>
      <c r="Z91" s="492">
        <f t="shared" si="179"/>
        <v>0</v>
      </c>
      <c r="AA91" s="492">
        <f t="shared" si="180"/>
        <v>0</v>
      </c>
      <c r="AB91" s="494">
        <f t="shared" si="181"/>
        <v>0</v>
      </c>
      <c r="AC91" s="494">
        <f t="shared" si="182"/>
        <v>0</v>
      </c>
      <c r="AD91" s="492">
        <v>0</v>
      </c>
      <c r="AE91" s="753">
        <f t="shared" si="183"/>
        <v>0</v>
      </c>
      <c r="AF91" s="688">
        <v>0</v>
      </c>
      <c r="AG91" s="326">
        <v>0</v>
      </c>
      <c r="AH91" s="326">
        <v>0</v>
      </c>
      <c r="AI91" s="326">
        <v>0</v>
      </c>
      <c r="AJ91" s="326">
        <v>0</v>
      </c>
      <c r="AK91" s="326">
        <v>0</v>
      </c>
      <c r="AL91" s="609">
        <f t="shared" si="184"/>
        <v>0</v>
      </c>
      <c r="AM91" s="493">
        <f>I91+AE91</f>
        <v>401213</v>
      </c>
      <c r="AN91" s="492">
        <f>J91+V91</f>
        <v>297636</v>
      </c>
      <c r="AO91" s="573">
        <f t="shared" si="185"/>
        <v>0</v>
      </c>
      <c r="AP91" s="492">
        <f>L91+AB91</f>
        <v>100601</v>
      </c>
      <c r="AQ91" s="492">
        <f>M91+AC91</f>
        <v>2976</v>
      </c>
      <c r="AR91" s="492">
        <v>0</v>
      </c>
      <c r="AS91" s="491">
        <f t="shared" si="186"/>
        <v>0.75</v>
      </c>
    </row>
    <row r="92" spans="1:45" s="152" customFormat="1" x14ac:dyDescent="0.2">
      <c r="A92" s="107">
        <v>19</v>
      </c>
      <c r="B92" s="15">
        <v>4485</v>
      </c>
      <c r="C92" s="15">
        <v>600074102</v>
      </c>
      <c r="D92" s="15">
        <v>70695113</v>
      </c>
      <c r="E92" s="116" t="s">
        <v>177</v>
      </c>
      <c r="F92" s="15"/>
      <c r="G92" s="106"/>
      <c r="H92" s="555"/>
      <c r="I92" s="758">
        <v>3539507</v>
      </c>
      <c r="J92" s="343">
        <v>2604903</v>
      </c>
      <c r="K92" s="343">
        <v>21000</v>
      </c>
      <c r="L92" s="343">
        <v>887555</v>
      </c>
      <c r="M92" s="343">
        <v>26049</v>
      </c>
      <c r="N92" s="343">
        <v>0</v>
      </c>
      <c r="O92" s="35">
        <v>4.7200000000000006</v>
      </c>
      <c r="P92" s="346">
        <f t="shared" ref="P92:AS92" si="187">SUM(P90:P91)</f>
        <v>-14000</v>
      </c>
      <c r="Q92" s="343">
        <f t="shared" si="187"/>
        <v>0</v>
      </c>
      <c r="R92" s="343">
        <f t="shared" si="187"/>
        <v>0</v>
      </c>
      <c r="S92" s="343">
        <f t="shared" si="187"/>
        <v>0</v>
      </c>
      <c r="T92" s="343">
        <f t="shared" si="187"/>
        <v>0</v>
      </c>
      <c r="U92" s="343">
        <f t="shared" si="187"/>
        <v>0</v>
      </c>
      <c r="V92" s="343">
        <f t="shared" si="187"/>
        <v>-14000</v>
      </c>
      <c r="W92" s="343">
        <f t="shared" si="187"/>
        <v>14000</v>
      </c>
      <c r="X92" s="343">
        <f t="shared" si="187"/>
        <v>0</v>
      </c>
      <c r="Y92" s="343">
        <f t="shared" si="187"/>
        <v>0</v>
      </c>
      <c r="Z92" s="343">
        <f t="shared" si="187"/>
        <v>14000</v>
      </c>
      <c r="AA92" s="343">
        <f t="shared" si="187"/>
        <v>0</v>
      </c>
      <c r="AB92" s="343">
        <f t="shared" si="187"/>
        <v>0</v>
      </c>
      <c r="AC92" s="343">
        <f t="shared" si="187"/>
        <v>-140</v>
      </c>
      <c r="AD92" s="343">
        <f t="shared" si="187"/>
        <v>0</v>
      </c>
      <c r="AE92" s="763">
        <f t="shared" si="187"/>
        <v>-140</v>
      </c>
      <c r="AF92" s="767">
        <f t="shared" si="187"/>
        <v>-0.02</v>
      </c>
      <c r="AG92" s="344">
        <f t="shared" si="187"/>
        <v>0</v>
      </c>
      <c r="AH92" s="344">
        <f t="shared" si="187"/>
        <v>0</v>
      </c>
      <c r="AI92" s="344">
        <f t="shared" si="187"/>
        <v>0</v>
      </c>
      <c r="AJ92" s="344">
        <f t="shared" si="187"/>
        <v>0</v>
      </c>
      <c r="AK92" s="344">
        <f t="shared" si="187"/>
        <v>0</v>
      </c>
      <c r="AL92" s="35">
        <f t="shared" si="187"/>
        <v>-0.02</v>
      </c>
      <c r="AM92" s="346">
        <f t="shared" si="187"/>
        <v>3539367</v>
      </c>
      <c r="AN92" s="343">
        <f t="shared" si="187"/>
        <v>2590903</v>
      </c>
      <c r="AO92" s="343">
        <f t="shared" si="187"/>
        <v>35000</v>
      </c>
      <c r="AP92" s="343">
        <f t="shared" si="187"/>
        <v>887555</v>
      </c>
      <c r="AQ92" s="343">
        <f t="shared" si="187"/>
        <v>25909</v>
      </c>
      <c r="AR92" s="343">
        <f t="shared" si="187"/>
        <v>0</v>
      </c>
      <c r="AS92" s="344">
        <f t="shared" si="187"/>
        <v>4.7</v>
      </c>
    </row>
    <row r="93" spans="1:45" s="152" customFormat="1" x14ac:dyDescent="0.2">
      <c r="A93" s="140">
        <v>20</v>
      </c>
      <c r="B93" s="141">
        <v>4435</v>
      </c>
      <c r="C93" s="141">
        <v>650034295</v>
      </c>
      <c r="D93" s="141">
        <v>72744669</v>
      </c>
      <c r="E93" s="139" t="s">
        <v>178</v>
      </c>
      <c r="F93" s="141">
        <v>3111</v>
      </c>
      <c r="G93" s="117" t="s">
        <v>277</v>
      </c>
      <c r="H93" s="560" t="s">
        <v>262</v>
      </c>
      <c r="I93" s="580">
        <v>3149673</v>
      </c>
      <c r="J93" s="490">
        <v>2324642</v>
      </c>
      <c r="K93" s="490">
        <v>12000</v>
      </c>
      <c r="L93" s="55">
        <v>789785</v>
      </c>
      <c r="M93" s="55">
        <v>23246</v>
      </c>
      <c r="N93" s="55">
        <v>0</v>
      </c>
      <c r="O93" s="614">
        <v>4</v>
      </c>
      <c r="P93" s="445">
        <f t="shared" ref="P93:P96" si="188">W93*-1</f>
        <v>-8000</v>
      </c>
      <c r="Q93" s="325">
        <v>0</v>
      </c>
      <c r="R93" s="325">
        <v>0</v>
      </c>
      <c r="S93" s="325">
        <v>0</v>
      </c>
      <c r="T93" s="325">
        <v>0</v>
      </c>
      <c r="U93" s="325">
        <v>0</v>
      </c>
      <c r="V93" s="492">
        <f t="shared" ref="V93:V96" si="189">P93+Q93+R93+S93+T93+U93</f>
        <v>-8000</v>
      </c>
      <c r="W93" s="325">
        <v>8000</v>
      </c>
      <c r="X93" s="325">
        <v>0</v>
      </c>
      <c r="Y93" s="325">
        <v>0</v>
      </c>
      <c r="Z93" s="492">
        <f t="shared" ref="Z93:Z96" si="190">W93+X93+Y93</f>
        <v>8000</v>
      </c>
      <c r="AA93" s="492">
        <f t="shared" ref="AA93:AA96" si="191">V93+Z93</f>
        <v>0</v>
      </c>
      <c r="AB93" s="494">
        <f t="shared" ref="AB93:AB96" si="192">ROUND((V93+Z93)*33.8%,0)</f>
        <v>0</v>
      </c>
      <c r="AC93" s="494">
        <f t="shared" ref="AC93:AC96" si="193">ROUND(V93*1%,0)</f>
        <v>-80</v>
      </c>
      <c r="AD93" s="492">
        <v>0</v>
      </c>
      <c r="AE93" s="753">
        <f t="shared" ref="AE93:AE96" si="194">AA93+AB93+AC93+AD93</f>
        <v>-80</v>
      </c>
      <c r="AF93" s="688">
        <v>0</v>
      </c>
      <c r="AG93" s="326">
        <v>0</v>
      </c>
      <c r="AH93" s="326">
        <v>0</v>
      </c>
      <c r="AI93" s="326">
        <v>0</v>
      </c>
      <c r="AJ93" s="326">
        <v>0</v>
      </c>
      <c r="AK93" s="326">
        <v>0</v>
      </c>
      <c r="AL93" s="609">
        <f t="shared" ref="AL93:AL96" si="195">SUM(AF93:AK93)</f>
        <v>0</v>
      </c>
      <c r="AM93" s="493">
        <f>I93+AE93</f>
        <v>3149593</v>
      </c>
      <c r="AN93" s="492">
        <f>J93+V93</f>
        <v>2316642</v>
      </c>
      <c r="AO93" s="573">
        <f t="shared" ref="AO93:AO96" si="196">K93+Z93</f>
        <v>20000</v>
      </c>
      <c r="AP93" s="492">
        <f t="shared" ref="AP93:AQ96" si="197">L93+AB93</f>
        <v>789785</v>
      </c>
      <c r="AQ93" s="492">
        <f t="shared" si="197"/>
        <v>23166</v>
      </c>
      <c r="AR93" s="492">
        <v>0</v>
      </c>
      <c r="AS93" s="491">
        <f t="shared" ref="AS93:AS96" si="198">O93+AL93</f>
        <v>4</v>
      </c>
    </row>
    <row r="94" spans="1:45" s="152" customFormat="1" x14ac:dyDescent="0.2">
      <c r="A94" s="140">
        <v>20</v>
      </c>
      <c r="B94" s="141">
        <v>4435</v>
      </c>
      <c r="C94" s="141">
        <v>650034295</v>
      </c>
      <c r="D94" s="141">
        <v>72744669</v>
      </c>
      <c r="E94" s="139" t="s">
        <v>178</v>
      </c>
      <c r="F94" s="141">
        <v>3117</v>
      </c>
      <c r="G94" s="117" t="s">
        <v>280</v>
      </c>
      <c r="H94" s="560" t="s">
        <v>262</v>
      </c>
      <c r="I94" s="580">
        <v>5000470</v>
      </c>
      <c r="J94" s="490">
        <v>3691681</v>
      </c>
      <c r="K94" s="490">
        <v>18000</v>
      </c>
      <c r="L94" s="55">
        <v>1253872</v>
      </c>
      <c r="M94" s="55">
        <v>36917</v>
      </c>
      <c r="N94" s="55">
        <v>0</v>
      </c>
      <c r="O94" s="614">
        <v>5.57</v>
      </c>
      <c r="P94" s="440">
        <f t="shared" si="188"/>
        <v>-12000</v>
      </c>
      <c r="Q94" s="325">
        <v>0</v>
      </c>
      <c r="R94" s="325">
        <v>0</v>
      </c>
      <c r="S94" s="325">
        <v>0</v>
      </c>
      <c r="T94" s="325">
        <v>0</v>
      </c>
      <c r="U94" s="325">
        <v>0</v>
      </c>
      <c r="V94" s="492">
        <f t="shared" si="189"/>
        <v>-12000</v>
      </c>
      <c r="W94" s="325">
        <v>12000</v>
      </c>
      <c r="X94" s="325">
        <v>0</v>
      </c>
      <c r="Y94" s="325">
        <v>0</v>
      </c>
      <c r="Z94" s="492">
        <f t="shared" si="190"/>
        <v>12000</v>
      </c>
      <c r="AA94" s="492">
        <f t="shared" si="191"/>
        <v>0</v>
      </c>
      <c r="AB94" s="494">
        <f t="shared" si="192"/>
        <v>0</v>
      </c>
      <c r="AC94" s="494">
        <f t="shared" si="193"/>
        <v>-120</v>
      </c>
      <c r="AD94" s="492">
        <v>0</v>
      </c>
      <c r="AE94" s="753">
        <f t="shared" si="194"/>
        <v>-120</v>
      </c>
      <c r="AF94" s="688">
        <v>0</v>
      </c>
      <c r="AG94" s="326">
        <v>0</v>
      </c>
      <c r="AH94" s="326">
        <v>0</v>
      </c>
      <c r="AI94" s="326">
        <v>0</v>
      </c>
      <c r="AJ94" s="326">
        <v>0</v>
      </c>
      <c r="AK94" s="326">
        <v>0</v>
      </c>
      <c r="AL94" s="609">
        <f t="shared" si="195"/>
        <v>0</v>
      </c>
      <c r="AM94" s="493">
        <f>I94+AE94</f>
        <v>5000350</v>
      </c>
      <c r="AN94" s="492">
        <f>J94+V94</f>
        <v>3679681</v>
      </c>
      <c r="AO94" s="573">
        <f t="shared" si="196"/>
        <v>30000</v>
      </c>
      <c r="AP94" s="492">
        <f t="shared" si="197"/>
        <v>1253872</v>
      </c>
      <c r="AQ94" s="492">
        <f t="shared" si="197"/>
        <v>36797</v>
      </c>
      <c r="AR94" s="492">
        <v>0</v>
      </c>
      <c r="AS94" s="491">
        <f t="shared" si="198"/>
        <v>5.57</v>
      </c>
    </row>
    <row r="95" spans="1:45" s="152" customFormat="1" x14ac:dyDescent="0.2">
      <c r="A95" s="140">
        <v>20</v>
      </c>
      <c r="B95" s="141">
        <v>4435</v>
      </c>
      <c r="C95" s="141">
        <v>650034295</v>
      </c>
      <c r="D95" s="141">
        <v>72744669</v>
      </c>
      <c r="E95" s="139" t="s">
        <v>178</v>
      </c>
      <c r="F95" s="141">
        <v>3117</v>
      </c>
      <c r="G95" s="117" t="s">
        <v>278</v>
      </c>
      <c r="H95" s="560" t="s">
        <v>263</v>
      </c>
      <c r="I95" s="580">
        <v>802426</v>
      </c>
      <c r="J95" s="490">
        <v>595271</v>
      </c>
      <c r="K95" s="490">
        <v>0</v>
      </c>
      <c r="L95" s="55">
        <v>201202</v>
      </c>
      <c r="M95" s="55">
        <v>5953</v>
      </c>
      <c r="N95" s="55">
        <v>0</v>
      </c>
      <c r="O95" s="614">
        <v>1.5</v>
      </c>
      <c r="P95" s="440">
        <f t="shared" si="188"/>
        <v>0</v>
      </c>
      <c r="Q95" s="325">
        <v>0</v>
      </c>
      <c r="R95" s="325">
        <v>0</v>
      </c>
      <c r="S95" s="325">
        <v>0</v>
      </c>
      <c r="T95" s="325">
        <v>0</v>
      </c>
      <c r="U95" s="325">
        <v>0</v>
      </c>
      <c r="V95" s="492">
        <f t="shared" si="189"/>
        <v>0</v>
      </c>
      <c r="W95" s="325">
        <v>0</v>
      </c>
      <c r="X95" s="325">
        <v>0</v>
      </c>
      <c r="Y95" s="325">
        <v>0</v>
      </c>
      <c r="Z95" s="492">
        <f t="shared" si="190"/>
        <v>0</v>
      </c>
      <c r="AA95" s="492">
        <f t="shared" si="191"/>
        <v>0</v>
      </c>
      <c r="AB95" s="494">
        <f t="shared" si="192"/>
        <v>0</v>
      </c>
      <c r="AC95" s="494">
        <f t="shared" si="193"/>
        <v>0</v>
      </c>
      <c r="AD95" s="492">
        <v>0</v>
      </c>
      <c r="AE95" s="753">
        <f t="shared" si="194"/>
        <v>0</v>
      </c>
      <c r="AF95" s="688">
        <v>0</v>
      </c>
      <c r="AG95" s="326">
        <v>0</v>
      </c>
      <c r="AH95" s="326">
        <v>0</v>
      </c>
      <c r="AI95" s="326">
        <v>0</v>
      </c>
      <c r="AJ95" s="326">
        <v>0</v>
      </c>
      <c r="AK95" s="326">
        <v>0</v>
      </c>
      <c r="AL95" s="609">
        <f t="shared" si="195"/>
        <v>0</v>
      </c>
      <c r="AM95" s="493">
        <f>I95+AE95</f>
        <v>802426</v>
      </c>
      <c r="AN95" s="492">
        <f>J95+V95</f>
        <v>595271</v>
      </c>
      <c r="AO95" s="573">
        <f t="shared" si="196"/>
        <v>0</v>
      </c>
      <c r="AP95" s="492">
        <f t="shared" si="197"/>
        <v>201202</v>
      </c>
      <c r="AQ95" s="492">
        <f t="shared" si="197"/>
        <v>5953</v>
      </c>
      <c r="AR95" s="492">
        <v>0</v>
      </c>
      <c r="AS95" s="491">
        <f t="shared" si="198"/>
        <v>1.5</v>
      </c>
    </row>
    <row r="96" spans="1:45" s="152" customFormat="1" x14ac:dyDescent="0.2">
      <c r="A96" s="140">
        <v>20</v>
      </c>
      <c r="B96" s="141">
        <v>4435</v>
      </c>
      <c r="C96" s="141">
        <v>650034295</v>
      </c>
      <c r="D96" s="141">
        <v>72744669</v>
      </c>
      <c r="E96" s="139" t="s">
        <v>178</v>
      </c>
      <c r="F96" s="141">
        <v>3143</v>
      </c>
      <c r="G96" s="117" t="s">
        <v>795</v>
      </c>
      <c r="H96" s="157" t="s">
        <v>262</v>
      </c>
      <c r="I96" s="580">
        <v>677747</v>
      </c>
      <c r="J96" s="490">
        <v>496824</v>
      </c>
      <c r="K96" s="490">
        <v>6000</v>
      </c>
      <c r="L96" s="55">
        <v>169955</v>
      </c>
      <c r="M96" s="55">
        <v>4968</v>
      </c>
      <c r="N96" s="55">
        <v>0</v>
      </c>
      <c r="O96" s="614">
        <v>0.94</v>
      </c>
      <c r="P96" s="440">
        <f t="shared" si="188"/>
        <v>-4000</v>
      </c>
      <c r="Q96" s="325">
        <v>0</v>
      </c>
      <c r="R96" s="325">
        <v>0</v>
      </c>
      <c r="S96" s="325">
        <v>0</v>
      </c>
      <c r="T96" s="325">
        <v>0</v>
      </c>
      <c r="U96" s="325">
        <v>0</v>
      </c>
      <c r="V96" s="492">
        <f t="shared" si="189"/>
        <v>-4000</v>
      </c>
      <c r="W96" s="325">
        <v>4000</v>
      </c>
      <c r="X96" s="325">
        <v>0</v>
      </c>
      <c r="Y96" s="325">
        <v>0</v>
      </c>
      <c r="Z96" s="492">
        <f t="shared" si="190"/>
        <v>4000</v>
      </c>
      <c r="AA96" s="492">
        <f t="shared" si="191"/>
        <v>0</v>
      </c>
      <c r="AB96" s="494">
        <f t="shared" si="192"/>
        <v>0</v>
      </c>
      <c r="AC96" s="494">
        <f t="shared" si="193"/>
        <v>-40</v>
      </c>
      <c r="AD96" s="492">
        <v>0</v>
      </c>
      <c r="AE96" s="753">
        <f t="shared" si="194"/>
        <v>-40</v>
      </c>
      <c r="AF96" s="688">
        <v>0</v>
      </c>
      <c r="AG96" s="326">
        <v>0</v>
      </c>
      <c r="AH96" s="326">
        <v>0</v>
      </c>
      <c r="AI96" s="326">
        <v>0</v>
      </c>
      <c r="AJ96" s="326">
        <v>0</v>
      </c>
      <c r="AK96" s="326">
        <v>0</v>
      </c>
      <c r="AL96" s="609">
        <f t="shared" si="195"/>
        <v>0</v>
      </c>
      <c r="AM96" s="493">
        <f>I96+AE96</f>
        <v>677707</v>
      </c>
      <c r="AN96" s="492">
        <f>J96+V96</f>
        <v>492824</v>
      </c>
      <c r="AO96" s="573">
        <f t="shared" si="196"/>
        <v>10000</v>
      </c>
      <c r="AP96" s="492">
        <f t="shared" si="197"/>
        <v>169955</v>
      </c>
      <c r="AQ96" s="492">
        <f t="shared" si="197"/>
        <v>4928</v>
      </c>
      <c r="AR96" s="492">
        <v>0</v>
      </c>
      <c r="AS96" s="491">
        <f t="shared" si="198"/>
        <v>0.94</v>
      </c>
    </row>
    <row r="97" spans="1:45" s="152" customFormat="1" x14ac:dyDescent="0.2">
      <c r="A97" s="107">
        <v>20</v>
      </c>
      <c r="B97" s="15">
        <v>4435</v>
      </c>
      <c r="C97" s="15">
        <v>650034295</v>
      </c>
      <c r="D97" s="15">
        <v>72744669</v>
      </c>
      <c r="E97" s="116" t="s">
        <v>179</v>
      </c>
      <c r="F97" s="15"/>
      <c r="G97" s="106"/>
      <c r="H97" s="555"/>
      <c r="I97" s="758">
        <v>9630316</v>
      </c>
      <c r="J97" s="343">
        <v>7108418</v>
      </c>
      <c r="K97" s="343">
        <v>36000</v>
      </c>
      <c r="L97" s="343">
        <v>2414814</v>
      </c>
      <c r="M97" s="343">
        <v>71084</v>
      </c>
      <c r="N97" s="343">
        <v>0</v>
      </c>
      <c r="O97" s="35">
        <v>12.01</v>
      </c>
      <c r="P97" s="346">
        <f t="shared" ref="P97:AS97" si="199">SUM(P93:P96)</f>
        <v>-24000</v>
      </c>
      <c r="Q97" s="343">
        <f t="shared" si="199"/>
        <v>0</v>
      </c>
      <c r="R97" s="343">
        <f t="shared" si="199"/>
        <v>0</v>
      </c>
      <c r="S97" s="343">
        <f t="shared" si="199"/>
        <v>0</v>
      </c>
      <c r="T97" s="343">
        <f t="shared" si="199"/>
        <v>0</v>
      </c>
      <c r="U97" s="343">
        <f t="shared" si="199"/>
        <v>0</v>
      </c>
      <c r="V97" s="343">
        <f t="shared" si="199"/>
        <v>-24000</v>
      </c>
      <c r="W97" s="343">
        <f t="shared" si="199"/>
        <v>24000</v>
      </c>
      <c r="X97" s="343">
        <f t="shared" si="199"/>
        <v>0</v>
      </c>
      <c r="Y97" s="343">
        <f t="shared" si="199"/>
        <v>0</v>
      </c>
      <c r="Z97" s="343">
        <f t="shared" si="199"/>
        <v>24000</v>
      </c>
      <c r="AA97" s="343">
        <f t="shared" si="199"/>
        <v>0</v>
      </c>
      <c r="AB97" s="343">
        <f t="shared" si="199"/>
        <v>0</v>
      </c>
      <c r="AC97" s="343">
        <f t="shared" si="199"/>
        <v>-240</v>
      </c>
      <c r="AD97" s="343">
        <f t="shared" si="199"/>
        <v>0</v>
      </c>
      <c r="AE97" s="763">
        <f t="shared" si="199"/>
        <v>-240</v>
      </c>
      <c r="AF97" s="767">
        <f t="shared" si="199"/>
        <v>0</v>
      </c>
      <c r="AG97" s="344">
        <f t="shared" si="199"/>
        <v>0</v>
      </c>
      <c r="AH97" s="344">
        <f t="shared" si="199"/>
        <v>0</v>
      </c>
      <c r="AI97" s="344">
        <f t="shared" si="199"/>
        <v>0</v>
      </c>
      <c r="AJ97" s="344">
        <f t="shared" si="199"/>
        <v>0</v>
      </c>
      <c r="AK97" s="344">
        <f t="shared" si="199"/>
        <v>0</v>
      </c>
      <c r="AL97" s="35">
        <f t="shared" si="199"/>
        <v>0</v>
      </c>
      <c r="AM97" s="346">
        <f t="shared" si="199"/>
        <v>9630076</v>
      </c>
      <c r="AN97" s="343">
        <f t="shared" si="199"/>
        <v>7084418</v>
      </c>
      <c r="AO97" s="343">
        <f t="shared" si="199"/>
        <v>60000</v>
      </c>
      <c r="AP97" s="343">
        <f t="shared" si="199"/>
        <v>2414814</v>
      </c>
      <c r="AQ97" s="343">
        <f t="shared" si="199"/>
        <v>70844</v>
      </c>
      <c r="AR97" s="343">
        <f t="shared" si="199"/>
        <v>0</v>
      </c>
      <c r="AS97" s="344">
        <f t="shared" si="199"/>
        <v>12.01</v>
      </c>
    </row>
    <row r="98" spans="1:45" s="152" customFormat="1" x14ac:dyDescent="0.2">
      <c r="A98" s="140">
        <v>21</v>
      </c>
      <c r="B98" s="141">
        <v>4412</v>
      </c>
      <c r="C98" s="141">
        <v>600074447</v>
      </c>
      <c r="D98" s="141">
        <v>70698554</v>
      </c>
      <c r="E98" s="139" t="s">
        <v>180</v>
      </c>
      <c r="F98" s="141">
        <v>3111</v>
      </c>
      <c r="G98" s="117" t="s">
        <v>277</v>
      </c>
      <c r="H98" s="560" t="s">
        <v>262</v>
      </c>
      <c r="I98" s="580">
        <v>3513566</v>
      </c>
      <c r="J98" s="490">
        <v>2606503</v>
      </c>
      <c r="K98" s="490">
        <v>0</v>
      </c>
      <c r="L98" s="55">
        <v>880998</v>
      </c>
      <c r="M98" s="55">
        <v>26065</v>
      </c>
      <c r="N98" s="55">
        <v>0</v>
      </c>
      <c r="O98" s="614">
        <v>4</v>
      </c>
      <c r="P98" s="445">
        <f>W98*-1</f>
        <v>0</v>
      </c>
      <c r="Q98" s="325">
        <v>0</v>
      </c>
      <c r="R98" s="325">
        <v>0</v>
      </c>
      <c r="S98" s="325">
        <v>0</v>
      </c>
      <c r="T98" s="325">
        <v>0</v>
      </c>
      <c r="U98" s="325">
        <v>0</v>
      </c>
      <c r="V98" s="492">
        <f t="shared" ref="V98:V99" si="200">P98+Q98+R98+S98+T98+U98</f>
        <v>0</v>
      </c>
      <c r="W98" s="325">
        <v>0</v>
      </c>
      <c r="X98" s="325">
        <v>0</v>
      </c>
      <c r="Y98" s="325">
        <v>0</v>
      </c>
      <c r="Z98" s="492">
        <f t="shared" ref="Z98:Z99" si="201">W98+X98+Y98</f>
        <v>0</v>
      </c>
      <c r="AA98" s="492">
        <f t="shared" ref="AA98:AA99" si="202">V98+Z98</f>
        <v>0</v>
      </c>
      <c r="AB98" s="494">
        <f t="shared" ref="AB98:AB99" si="203">ROUND((V98+Z98)*33.8%,0)</f>
        <v>0</v>
      </c>
      <c r="AC98" s="494">
        <f t="shared" ref="AC98:AC99" si="204">ROUND(V98*1%,0)</f>
        <v>0</v>
      </c>
      <c r="AD98" s="492">
        <v>0</v>
      </c>
      <c r="AE98" s="753">
        <f t="shared" ref="AE98:AE99" si="205">AA98+AB98+AC98+AD98</f>
        <v>0</v>
      </c>
      <c r="AF98" s="688">
        <v>0</v>
      </c>
      <c r="AG98" s="326">
        <v>0</v>
      </c>
      <c r="AH98" s="326">
        <v>0</v>
      </c>
      <c r="AI98" s="326">
        <v>0</v>
      </c>
      <c r="AJ98" s="326">
        <v>0</v>
      </c>
      <c r="AK98" s="326">
        <v>0</v>
      </c>
      <c r="AL98" s="609">
        <f t="shared" ref="AL98:AL99" si="206">SUM(AF98:AK98)</f>
        <v>0</v>
      </c>
      <c r="AM98" s="493">
        <f>I98+AE98</f>
        <v>3513566</v>
      </c>
      <c r="AN98" s="492">
        <f>J98+V98</f>
        <v>2606503</v>
      </c>
      <c r="AO98" s="573">
        <f t="shared" ref="AO98:AO99" si="207">K98+Z98</f>
        <v>0</v>
      </c>
      <c r="AP98" s="492">
        <f>L98+AB98</f>
        <v>880998</v>
      </c>
      <c r="AQ98" s="492">
        <f>M98+AC98</f>
        <v>26065</v>
      </c>
      <c r="AR98" s="492">
        <v>0</v>
      </c>
      <c r="AS98" s="491">
        <f t="shared" ref="AS98:AS99" si="208">O98+AL98</f>
        <v>4</v>
      </c>
    </row>
    <row r="99" spans="1:45" s="152" customFormat="1" x14ac:dyDescent="0.2">
      <c r="A99" s="140">
        <v>21</v>
      </c>
      <c r="B99" s="141">
        <v>4412</v>
      </c>
      <c r="C99" s="141">
        <v>600074447</v>
      </c>
      <c r="D99" s="141">
        <v>70698554</v>
      </c>
      <c r="E99" s="139" t="s">
        <v>180</v>
      </c>
      <c r="F99" s="141">
        <v>3111</v>
      </c>
      <c r="G99" s="117" t="s">
        <v>278</v>
      </c>
      <c r="H99" s="560" t="s">
        <v>263</v>
      </c>
      <c r="I99" s="580">
        <v>1069900</v>
      </c>
      <c r="J99" s="490">
        <v>793694</v>
      </c>
      <c r="K99" s="490">
        <v>0</v>
      </c>
      <c r="L99" s="55">
        <v>268269</v>
      </c>
      <c r="M99" s="55">
        <v>7937</v>
      </c>
      <c r="N99" s="55">
        <v>0</v>
      </c>
      <c r="O99" s="614">
        <v>2</v>
      </c>
      <c r="P99" s="440">
        <f>W99*-1</f>
        <v>0</v>
      </c>
      <c r="Q99" s="325">
        <v>0</v>
      </c>
      <c r="R99" s="325">
        <v>0</v>
      </c>
      <c r="S99" s="325">
        <v>0</v>
      </c>
      <c r="T99" s="325">
        <v>0</v>
      </c>
      <c r="U99" s="325">
        <v>0</v>
      </c>
      <c r="V99" s="492">
        <f t="shared" si="200"/>
        <v>0</v>
      </c>
      <c r="W99" s="325">
        <v>0</v>
      </c>
      <c r="X99" s="325">
        <v>0</v>
      </c>
      <c r="Y99" s="325">
        <v>0</v>
      </c>
      <c r="Z99" s="492">
        <f t="shared" si="201"/>
        <v>0</v>
      </c>
      <c r="AA99" s="492">
        <f t="shared" si="202"/>
        <v>0</v>
      </c>
      <c r="AB99" s="494">
        <f t="shared" si="203"/>
        <v>0</v>
      </c>
      <c r="AC99" s="494">
        <f t="shared" si="204"/>
        <v>0</v>
      </c>
      <c r="AD99" s="492">
        <v>0</v>
      </c>
      <c r="AE99" s="753">
        <f t="shared" si="205"/>
        <v>0</v>
      </c>
      <c r="AF99" s="688">
        <v>0</v>
      </c>
      <c r="AG99" s="326">
        <v>0</v>
      </c>
      <c r="AH99" s="326">
        <v>0</v>
      </c>
      <c r="AI99" s="326">
        <v>0</v>
      </c>
      <c r="AJ99" s="326">
        <v>0</v>
      </c>
      <c r="AK99" s="326">
        <v>0</v>
      </c>
      <c r="AL99" s="609">
        <f t="shared" si="206"/>
        <v>0</v>
      </c>
      <c r="AM99" s="493">
        <f>I99+AE99</f>
        <v>1069900</v>
      </c>
      <c r="AN99" s="492">
        <f>J99+V99</f>
        <v>793694</v>
      </c>
      <c r="AO99" s="573">
        <f t="shared" si="207"/>
        <v>0</v>
      </c>
      <c r="AP99" s="492">
        <f>L99+AB99</f>
        <v>268269</v>
      </c>
      <c r="AQ99" s="492">
        <f>M99+AC99</f>
        <v>7937</v>
      </c>
      <c r="AR99" s="492">
        <v>0</v>
      </c>
      <c r="AS99" s="491">
        <f t="shared" si="208"/>
        <v>2</v>
      </c>
    </row>
    <row r="100" spans="1:45" s="152" customFormat="1" x14ac:dyDescent="0.2">
      <c r="A100" s="107">
        <v>21</v>
      </c>
      <c r="B100" s="15">
        <v>4412</v>
      </c>
      <c r="C100" s="15">
        <v>600074447</v>
      </c>
      <c r="D100" s="15">
        <v>70698554</v>
      </c>
      <c r="E100" s="116" t="s">
        <v>181</v>
      </c>
      <c r="F100" s="15"/>
      <c r="G100" s="106"/>
      <c r="H100" s="555"/>
      <c r="I100" s="758">
        <v>4583466</v>
      </c>
      <c r="J100" s="343">
        <v>3400197</v>
      </c>
      <c r="K100" s="343">
        <v>0</v>
      </c>
      <c r="L100" s="343">
        <v>1149267</v>
      </c>
      <c r="M100" s="343">
        <v>34002</v>
      </c>
      <c r="N100" s="343">
        <v>0</v>
      </c>
      <c r="O100" s="35">
        <v>6</v>
      </c>
      <c r="P100" s="346">
        <f t="shared" ref="P100:AS100" si="209">SUM(P98:P99)</f>
        <v>0</v>
      </c>
      <c r="Q100" s="343">
        <f t="shared" si="209"/>
        <v>0</v>
      </c>
      <c r="R100" s="343">
        <f t="shared" si="209"/>
        <v>0</v>
      </c>
      <c r="S100" s="343">
        <f t="shared" si="209"/>
        <v>0</v>
      </c>
      <c r="T100" s="343">
        <f t="shared" si="209"/>
        <v>0</v>
      </c>
      <c r="U100" s="343">
        <f t="shared" si="209"/>
        <v>0</v>
      </c>
      <c r="V100" s="343">
        <f t="shared" si="209"/>
        <v>0</v>
      </c>
      <c r="W100" s="343">
        <f t="shared" si="209"/>
        <v>0</v>
      </c>
      <c r="X100" s="343">
        <f t="shared" si="209"/>
        <v>0</v>
      </c>
      <c r="Y100" s="343">
        <f t="shared" si="209"/>
        <v>0</v>
      </c>
      <c r="Z100" s="343">
        <f t="shared" si="209"/>
        <v>0</v>
      </c>
      <c r="AA100" s="343">
        <f t="shared" si="209"/>
        <v>0</v>
      </c>
      <c r="AB100" s="343">
        <f t="shared" si="209"/>
        <v>0</v>
      </c>
      <c r="AC100" s="343">
        <f t="shared" si="209"/>
        <v>0</v>
      </c>
      <c r="AD100" s="343">
        <f t="shared" si="209"/>
        <v>0</v>
      </c>
      <c r="AE100" s="763">
        <f t="shared" si="209"/>
        <v>0</v>
      </c>
      <c r="AF100" s="767">
        <f t="shared" si="209"/>
        <v>0</v>
      </c>
      <c r="AG100" s="344">
        <f t="shared" si="209"/>
        <v>0</v>
      </c>
      <c r="AH100" s="344">
        <f t="shared" si="209"/>
        <v>0</v>
      </c>
      <c r="AI100" s="344">
        <f t="shared" si="209"/>
        <v>0</v>
      </c>
      <c r="AJ100" s="344">
        <f t="shared" si="209"/>
        <v>0</v>
      </c>
      <c r="AK100" s="344">
        <f t="shared" si="209"/>
        <v>0</v>
      </c>
      <c r="AL100" s="35">
        <f t="shared" si="209"/>
        <v>0</v>
      </c>
      <c r="AM100" s="346">
        <f t="shared" si="209"/>
        <v>4583466</v>
      </c>
      <c r="AN100" s="343">
        <f t="shared" si="209"/>
        <v>3400197</v>
      </c>
      <c r="AO100" s="343">
        <f t="shared" si="209"/>
        <v>0</v>
      </c>
      <c r="AP100" s="343">
        <f t="shared" si="209"/>
        <v>1149267</v>
      </c>
      <c r="AQ100" s="343">
        <f t="shared" si="209"/>
        <v>34002</v>
      </c>
      <c r="AR100" s="343">
        <f t="shared" si="209"/>
        <v>0</v>
      </c>
      <c r="AS100" s="344">
        <f t="shared" si="209"/>
        <v>6</v>
      </c>
    </row>
    <row r="101" spans="1:45" s="152" customFormat="1" x14ac:dyDescent="0.2">
      <c r="A101" s="140">
        <v>22</v>
      </c>
      <c r="B101" s="141">
        <v>4413</v>
      </c>
      <c r="C101" s="141">
        <v>600074455</v>
      </c>
      <c r="D101" s="141">
        <v>70695369</v>
      </c>
      <c r="E101" s="139" t="s">
        <v>182</v>
      </c>
      <c r="F101" s="141">
        <v>3111</v>
      </c>
      <c r="G101" s="117" t="s">
        <v>277</v>
      </c>
      <c r="H101" s="560" t="s">
        <v>262</v>
      </c>
      <c r="I101" s="580">
        <v>9301225</v>
      </c>
      <c r="J101" s="490">
        <v>6900019</v>
      </c>
      <c r="K101" s="490">
        <v>0</v>
      </c>
      <c r="L101" s="55">
        <v>2332206</v>
      </c>
      <c r="M101" s="55">
        <v>69000</v>
      </c>
      <c r="N101" s="55">
        <v>0</v>
      </c>
      <c r="O101" s="614">
        <v>11</v>
      </c>
      <c r="P101" s="445">
        <f>W101*-1</f>
        <v>0</v>
      </c>
      <c r="Q101" s="325">
        <v>0</v>
      </c>
      <c r="R101" s="325">
        <v>0</v>
      </c>
      <c r="S101" s="325">
        <v>0</v>
      </c>
      <c r="T101" s="325">
        <v>0</v>
      </c>
      <c r="U101" s="325">
        <v>0</v>
      </c>
      <c r="V101" s="492">
        <f t="shared" ref="V101:V103" si="210">P101+Q101+R101+S101+T101+U101</f>
        <v>0</v>
      </c>
      <c r="W101" s="325">
        <v>0</v>
      </c>
      <c r="X101" s="325">
        <v>0</v>
      </c>
      <c r="Y101" s="325">
        <v>0</v>
      </c>
      <c r="Z101" s="492">
        <f t="shared" ref="Z101:Z103" si="211">W101+X101+Y101</f>
        <v>0</v>
      </c>
      <c r="AA101" s="492">
        <f t="shared" ref="AA101:AA103" si="212">V101+Z101</f>
        <v>0</v>
      </c>
      <c r="AB101" s="494">
        <f t="shared" ref="AB101:AB103" si="213">ROUND((V101+Z101)*33.8%,0)</f>
        <v>0</v>
      </c>
      <c r="AC101" s="494">
        <f t="shared" ref="AC101:AC103" si="214">ROUND(V101*1%,0)</f>
        <v>0</v>
      </c>
      <c r="AD101" s="492">
        <v>0</v>
      </c>
      <c r="AE101" s="753">
        <f t="shared" ref="AE101:AE103" si="215">AA101+AB101+AC101+AD101</f>
        <v>0</v>
      </c>
      <c r="AF101" s="688">
        <v>0</v>
      </c>
      <c r="AG101" s="326">
        <v>0</v>
      </c>
      <c r="AH101" s="326">
        <v>0</v>
      </c>
      <c r="AI101" s="326">
        <v>0</v>
      </c>
      <c r="AJ101" s="326">
        <v>0</v>
      </c>
      <c r="AK101" s="326">
        <v>0</v>
      </c>
      <c r="AL101" s="609">
        <f t="shared" ref="AL101:AL103" si="216">SUM(AF101:AK101)</f>
        <v>0</v>
      </c>
      <c r="AM101" s="493">
        <f>I101+AE101</f>
        <v>9301225</v>
      </c>
      <c r="AN101" s="492">
        <f>J101+V101</f>
        <v>6900019</v>
      </c>
      <c r="AO101" s="573">
        <f t="shared" ref="AO101:AO103" si="217">K101+Z101</f>
        <v>0</v>
      </c>
      <c r="AP101" s="492">
        <f t="shared" ref="AP101:AQ103" si="218">L101+AB101</f>
        <v>2332206</v>
      </c>
      <c r="AQ101" s="492">
        <f t="shared" si="218"/>
        <v>69000</v>
      </c>
      <c r="AR101" s="492">
        <v>0</v>
      </c>
      <c r="AS101" s="491">
        <f t="shared" ref="AS101:AS103" si="219">O101+AL101</f>
        <v>11</v>
      </c>
    </row>
    <row r="102" spans="1:45" s="152" customFormat="1" x14ac:dyDescent="0.2">
      <c r="A102" s="140">
        <v>22</v>
      </c>
      <c r="B102" s="141">
        <v>4413</v>
      </c>
      <c r="C102" s="141">
        <v>600074455</v>
      </c>
      <c r="D102" s="141">
        <v>70695369</v>
      </c>
      <c r="E102" s="139" t="s">
        <v>182</v>
      </c>
      <c r="F102" s="141">
        <v>3111</v>
      </c>
      <c r="G102" s="117" t="s">
        <v>278</v>
      </c>
      <c r="H102" s="560" t="s">
        <v>263</v>
      </c>
      <c r="I102" s="580">
        <v>2541012</v>
      </c>
      <c r="J102" s="490">
        <v>1885024</v>
      </c>
      <c r="K102" s="490">
        <v>0</v>
      </c>
      <c r="L102" s="55">
        <v>637138</v>
      </c>
      <c r="M102" s="55">
        <v>18850</v>
      </c>
      <c r="N102" s="55">
        <v>0</v>
      </c>
      <c r="O102" s="614">
        <v>4.75</v>
      </c>
      <c r="P102" s="440">
        <f>W102*-1</f>
        <v>0</v>
      </c>
      <c r="Q102" s="325">
        <v>0</v>
      </c>
      <c r="R102" s="325">
        <v>0</v>
      </c>
      <c r="S102" s="325">
        <v>0</v>
      </c>
      <c r="T102" s="325">
        <v>0</v>
      </c>
      <c r="U102" s="325">
        <v>0</v>
      </c>
      <c r="V102" s="492">
        <f t="shared" si="210"/>
        <v>0</v>
      </c>
      <c r="W102" s="325">
        <v>0</v>
      </c>
      <c r="X102" s="325">
        <v>0</v>
      </c>
      <c r="Y102" s="325">
        <v>0</v>
      </c>
      <c r="Z102" s="492">
        <f t="shared" si="211"/>
        <v>0</v>
      </c>
      <c r="AA102" s="492">
        <f t="shared" si="212"/>
        <v>0</v>
      </c>
      <c r="AB102" s="494">
        <f t="shared" si="213"/>
        <v>0</v>
      </c>
      <c r="AC102" s="494">
        <f t="shared" si="214"/>
        <v>0</v>
      </c>
      <c r="AD102" s="492">
        <v>0</v>
      </c>
      <c r="AE102" s="753">
        <f t="shared" si="215"/>
        <v>0</v>
      </c>
      <c r="AF102" s="688">
        <v>0</v>
      </c>
      <c r="AG102" s="326">
        <v>0</v>
      </c>
      <c r="AH102" s="326">
        <v>0</v>
      </c>
      <c r="AI102" s="326">
        <v>0</v>
      </c>
      <c r="AJ102" s="326">
        <v>0</v>
      </c>
      <c r="AK102" s="326">
        <v>0</v>
      </c>
      <c r="AL102" s="609">
        <f t="shared" si="216"/>
        <v>0</v>
      </c>
      <c r="AM102" s="493">
        <f>I102+AE102</f>
        <v>2541012</v>
      </c>
      <c r="AN102" s="492">
        <f>J102+V102</f>
        <v>1885024</v>
      </c>
      <c r="AO102" s="573">
        <f t="shared" si="217"/>
        <v>0</v>
      </c>
      <c r="AP102" s="492">
        <f t="shared" si="218"/>
        <v>637138</v>
      </c>
      <c r="AQ102" s="492">
        <f t="shared" si="218"/>
        <v>18850</v>
      </c>
      <c r="AR102" s="492">
        <v>0</v>
      </c>
      <c r="AS102" s="491">
        <f t="shared" si="219"/>
        <v>4.75</v>
      </c>
    </row>
    <row r="103" spans="1:45" s="152" customFormat="1" x14ac:dyDescent="0.2">
      <c r="A103" s="140">
        <v>22</v>
      </c>
      <c r="B103" s="141">
        <v>4413</v>
      </c>
      <c r="C103" s="141">
        <v>600074455</v>
      </c>
      <c r="D103" s="141">
        <v>70695369</v>
      </c>
      <c r="E103" s="139" t="s">
        <v>182</v>
      </c>
      <c r="F103" s="141">
        <v>3143</v>
      </c>
      <c r="G103" s="117" t="s">
        <v>794</v>
      </c>
      <c r="H103" s="157" t="s">
        <v>262</v>
      </c>
      <c r="I103" s="580">
        <v>1341239</v>
      </c>
      <c r="J103" s="490">
        <v>994984</v>
      </c>
      <c r="K103" s="490">
        <v>0</v>
      </c>
      <c r="L103" s="55">
        <v>336305</v>
      </c>
      <c r="M103" s="55">
        <v>9950</v>
      </c>
      <c r="N103" s="55">
        <v>0</v>
      </c>
      <c r="O103" s="614">
        <v>2</v>
      </c>
      <c r="P103" s="440">
        <f>W103*-1</f>
        <v>0</v>
      </c>
      <c r="Q103" s="325">
        <v>0</v>
      </c>
      <c r="R103" s="325">
        <v>0</v>
      </c>
      <c r="S103" s="325">
        <v>0</v>
      </c>
      <c r="T103" s="325">
        <v>0</v>
      </c>
      <c r="U103" s="325">
        <v>0</v>
      </c>
      <c r="V103" s="492">
        <f t="shared" si="210"/>
        <v>0</v>
      </c>
      <c r="W103" s="325">
        <v>0</v>
      </c>
      <c r="X103" s="325">
        <v>0</v>
      </c>
      <c r="Y103" s="325">
        <v>0</v>
      </c>
      <c r="Z103" s="492">
        <f t="shared" si="211"/>
        <v>0</v>
      </c>
      <c r="AA103" s="492">
        <f t="shared" si="212"/>
        <v>0</v>
      </c>
      <c r="AB103" s="494">
        <f t="shared" si="213"/>
        <v>0</v>
      </c>
      <c r="AC103" s="494">
        <f t="shared" si="214"/>
        <v>0</v>
      </c>
      <c r="AD103" s="492">
        <v>0</v>
      </c>
      <c r="AE103" s="753">
        <f t="shared" si="215"/>
        <v>0</v>
      </c>
      <c r="AF103" s="688">
        <v>0</v>
      </c>
      <c r="AG103" s="326">
        <v>0</v>
      </c>
      <c r="AH103" s="326">
        <v>0</v>
      </c>
      <c r="AI103" s="326">
        <v>0</v>
      </c>
      <c r="AJ103" s="326">
        <v>0</v>
      </c>
      <c r="AK103" s="326">
        <v>0</v>
      </c>
      <c r="AL103" s="609">
        <f t="shared" si="216"/>
        <v>0</v>
      </c>
      <c r="AM103" s="493">
        <f>I103+AE103</f>
        <v>1341239</v>
      </c>
      <c r="AN103" s="492">
        <f>J103+V103</f>
        <v>994984</v>
      </c>
      <c r="AO103" s="573">
        <f t="shared" si="217"/>
        <v>0</v>
      </c>
      <c r="AP103" s="492">
        <f t="shared" si="218"/>
        <v>336305</v>
      </c>
      <c r="AQ103" s="492">
        <f t="shared" si="218"/>
        <v>9950</v>
      </c>
      <c r="AR103" s="492">
        <v>0</v>
      </c>
      <c r="AS103" s="491">
        <f t="shared" si="219"/>
        <v>2</v>
      </c>
    </row>
    <row r="104" spans="1:45" s="152" customFormat="1" x14ac:dyDescent="0.2">
      <c r="A104" s="107">
        <v>22</v>
      </c>
      <c r="B104" s="15">
        <v>4413</v>
      </c>
      <c r="C104" s="15">
        <v>600074455</v>
      </c>
      <c r="D104" s="15">
        <v>70695369</v>
      </c>
      <c r="E104" s="116" t="s">
        <v>183</v>
      </c>
      <c r="F104" s="15"/>
      <c r="G104" s="106"/>
      <c r="H104" s="555"/>
      <c r="I104" s="758">
        <v>13183476</v>
      </c>
      <c r="J104" s="343">
        <v>9780027</v>
      </c>
      <c r="K104" s="343">
        <v>0</v>
      </c>
      <c r="L104" s="343">
        <v>3305649</v>
      </c>
      <c r="M104" s="343">
        <v>97800</v>
      </c>
      <c r="N104" s="343">
        <v>0</v>
      </c>
      <c r="O104" s="35">
        <v>17.75</v>
      </c>
      <c r="P104" s="346">
        <f t="shared" ref="P104:AS104" si="220">SUM(P101:P103)</f>
        <v>0</v>
      </c>
      <c r="Q104" s="343">
        <f t="shared" si="220"/>
        <v>0</v>
      </c>
      <c r="R104" s="343">
        <f t="shared" si="220"/>
        <v>0</v>
      </c>
      <c r="S104" s="343">
        <f t="shared" si="220"/>
        <v>0</v>
      </c>
      <c r="T104" s="343">
        <f t="shared" si="220"/>
        <v>0</v>
      </c>
      <c r="U104" s="343">
        <f t="shared" si="220"/>
        <v>0</v>
      </c>
      <c r="V104" s="343">
        <f t="shared" si="220"/>
        <v>0</v>
      </c>
      <c r="W104" s="343">
        <f t="shared" si="220"/>
        <v>0</v>
      </c>
      <c r="X104" s="343">
        <f t="shared" si="220"/>
        <v>0</v>
      </c>
      <c r="Y104" s="343">
        <f t="shared" si="220"/>
        <v>0</v>
      </c>
      <c r="Z104" s="343">
        <f t="shared" si="220"/>
        <v>0</v>
      </c>
      <c r="AA104" s="343">
        <f t="shared" si="220"/>
        <v>0</v>
      </c>
      <c r="AB104" s="343">
        <f t="shared" si="220"/>
        <v>0</v>
      </c>
      <c r="AC104" s="343">
        <f t="shared" si="220"/>
        <v>0</v>
      </c>
      <c r="AD104" s="343">
        <f t="shared" si="220"/>
        <v>0</v>
      </c>
      <c r="AE104" s="763">
        <f t="shared" si="220"/>
        <v>0</v>
      </c>
      <c r="AF104" s="767">
        <f t="shared" si="220"/>
        <v>0</v>
      </c>
      <c r="AG104" s="344">
        <f t="shared" si="220"/>
        <v>0</v>
      </c>
      <c r="AH104" s="344">
        <f t="shared" si="220"/>
        <v>0</v>
      </c>
      <c r="AI104" s="344">
        <f t="shared" si="220"/>
        <v>0</v>
      </c>
      <c r="AJ104" s="344">
        <f t="shared" si="220"/>
        <v>0</v>
      </c>
      <c r="AK104" s="344">
        <f t="shared" si="220"/>
        <v>0</v>
      </c>
      <c r="AL104" s="35">
        <f t="shared" si="220"/>
        <v>0</v>
      </c>
      <c r="AM104" s="346">
        <f t="shared" si="220"/>
        <v>13183476</v>
      </c>
      <c r="AN104" s="343">
        <f t="shared" si="220"/>
        <v>9780027</v>
      </c>
      <c r="AO104" s="343">
        <f t="shared" si="220"/>
        <v>0</v>
      </c>
      <c r="AP104" s="343">
        <f t="shared" si="220"/>
        <v>3305649</v>
      </c>
      <c r="AQ104" s="343">
        <f t="shared" si="220"/>
        <v>97800</v>
      </c>
      <c r="AR104" s="343">
        <f t="shared" si="220"/>
        <v>0</v>
      </c>
      <c r="AS104" s="344">
        <f t="shared" si="220"/>
        <v>17.75</v>
      </c>
    </row>
    <row r="105" spans="1:45" s="152" customFormat="1" x14ac:dyDescent="0.2">
      <c r="A105" s="140">
        <v>23</v>
      </c>
      <c r="B105" s="141">
        <v>4429</v>
      </c>
      <c r="C105" s="141">
        <v>600074595</v>
      </c>
      <c r="D105" s="141">
        <v>70698520</v>
      </c>
      <c r="E105" s="139" t="s">
        <v>184</v>
      </c>
      <c r="F105" s="141">
        <v>3111</v>
      </c>
      <c r="G105" s="117" t="s">
        <v>277</v>
      </c>
      <c r="H105" s="560" t="s">
        <v>262</v>
      </c>
      <c r="I105" s="580">
        <v>1535554</v>
      </c>
      <c r="J105" s="490">
        <v>1136157</v>
      </c>
      <c r="K105" s="490">
        <v>3000</v>
      </c>
      <c r="L105" s="55">
        <v>385035</v>
      </c>
      <c r="M105" s="55">
        <v>11362</v>
      </c>
      <c r="N105" s="55">
        <v>0</v>
      </c>
      <c r="O105" s="614">
        <v>1.99</v>
      </c>
      <c r="P105" s="445">
        <f t="shared" ref="P105:P108" si="221">W105*-1</f>
        <v>-2000</v>
      </c>
      <c r="Q105" s="325">
        <v>0</v>
      </c>
      <c r="R105" s="325">
        <v>0</v>
      </c>
      <c r="S105" s="325">
        <v>0</v>
      </c>
      <c r="T105" s="325">
        <v>0</v>
      </c>
      <c r="U105" s="325">
        <v>0</v>
      </c>
      <c r="V105" s="492">
        <f t="shared" ref="V105:V108" si="222">P105+Q105+R105+S105+T105+U105</f>
        <v>-2000</v>
      </c>
      <c r="W105" s="325">
        <v>2000</v>
      </c>
      <c r="X105" s="325">
        <v>0</v>
      </c>
      <c r="Y105" s="325">
        <v>0</v>
      </c>
      <c r="Z105" s="492">
        <f t="shared" ref="Z105:Z108" si="223">W105+X105+Y105</f>
        <v>2000</v>
      </c>
      <c r="AA105" s="492">
        <f t="shared" ref="AA105:AA108" si="224">V105+Z105</f>
        <v>0</v>
      </c>
      <c r="AB105" s="494">
        <f t="shared" ref="AB105:AB108" si="225">ROUND((V105+Z105)*33.8%,0)</f>
        <v>0</v>
      </c>
      <c r="AC105" s="494">
        <f t="shared" ref="AC105:AC108" si="226">ROUND(V105*1%,0)</f>
        <v>-20</v>
      </c>
      <c r="AD105" s="492">
        <v>0</v>
      </c>
      <c r="AE105" s="753">
        <f t="shared" ref="AE105:AE108" si="227">AA105+AB105+AC105+AD105</f>
        <v>-20</v>
      </c>
      <c r="AF105" s="688">
        <v>0</v>
      </c>
      <c r="AG105" s="326">
        <v>0</v>
      </c>
      <c r="AH105" s="326">
        <v>0</v>
      </c>
      <c r="AI105" s="326">
        <v>0</v>
      </c>
      <c r="AJ105" s="326">
        <v>0</v>
      </c>
      <c r="AK105" s="326">
        <v>0</v>
      </c>
      <c r="AL105" s="609">
        <f t="shared" ref="AL105:AL108" si="228">SUM(AF105:AK105)</f>
        <v>0</v>
      </c>
      <c r="AM105" s="493">
        <f>I105+AE105</f>
        <v>1535534</v>
      </c>
      <c r="AN105" s="492">
        <f>J105+V105</f>
        <v>1134157</v>
      </c>
      <c r="AO105" s="573">
        <f t="shared" ref="AO105:AO108" si="229">K105+Z105</f>
        <v>5000</v>
      </c>
      <c r="AP105" s="492">
        <f t="shared" ref="AP105:AQ108" si="230">L105+AB105</f>
        <v>385035</v>
      </c>
      <c r="AQ105" s="492">
        <f t="shared" si="230"/>
        <v>11342</v>
      </c>
      <c r="AR105" s="492">
        <v>0</v>
      </c>
      <c r="AS105" s="491">
        <f t="shared" ref="AS105:AS108" si="231">O105+AL105</f>
        <v>1.99</v>
      </c>
    </row>
    <row r="106" spans="1:45" s="152" customFormat="1" x14ac:dyDescent="0.2">
      <c r="A106" s="140">
        <v>23</v>
      </c>
      <c r="B106" s="141">
        <v>4429</v>
      </c>
      <c r="C106" s="141">
        <v>600074595</v>
      </c>
      <c r="D106" s="141">
        <v>70698520</v>
      </c>
      <c r="E106" s="139" t="s">
        <v>184</v>
      </c>
      <c r="F106" s="141">
        <v>3117</v>
      </c>
      <c r="G106" s="117" t="s">
        <v>280</v>
      </c>
      <c r="H106" s="560" t="s">
        <v>262</v>
      </c>
      <c r="I106" s="580">
        <v>3036352</v>
      </c>
      <c r="J106" s="490">
        <v>2243554</v>
      </c>
      <c r="K106" s="490">
        <v>9000</v>
      </c>
      <c r="L106" s="55">
        <v>761363</v>
      </c>
      <c r="M106" s="55">
        <v>22435</v>
      </c>
      <c r="N106" s="55">
        <v>0</v>
      </c>
      <c r="O106" s="614">
        <v>3.4400000000000004</v>
      </c>
      <c r="P106" s="440">
        <f t="shared" si="221"/>
        <v>-6000</v>
      </c>
      <c r="Q106" s="325">
        <v>0</v>
      </c>
      <c r="R106" s="325">
        <v>0</v>
      </c>
      <c r="S106" s="325">
        <v>0</v>
      </c>
      <c r="T106" s="325">
        <v>0</v>
      </c>
      <c r="U106" s="325">
        <v>0</v>
      </c>
      <c r="V106" s="492">
        <f t="shared" si="222"/>
        <v>-6000</v>
      </c>
      <c r="W106" s="325">
        <v>6000</v>
      </c>
      <c r="X106" s="325">
        <v>0</v>
      </c>
      <c r="Y106" s="325">
        <v>0</v>
      </c>
      <c r="Z106" s="492">
        <f t="shared" si="223"/>
        <v>6000</v>
      </c>
      <c r="AA106" s="492">
        <f t="shared" si="224"/>
        <v>0</v>
      </c>
      <c r="AB106" s="494">
        <f t="shared" si="225"/>
        <v>0</v>
      </c>
      <c r="AC106" s="494">
        <f t="shared" si="226"/>
        <v>-60</v>
      </c>
      <c r="AD106" s="492">
        <v>0</v>
      </c>
      <c r="AE106" s="753">
        <f t="shared" si="227"/>
        <v>-60</v>
      </c>
      <c r="AF106" s="688">
        <v>-0.01</v>
      </c>
      <c r="AG106" s="326">
        <v>0</v>
      </c>
      <c r="AH106" s="326">
        <v>0</v>
      </c>
      <c r="AI106" s="326">
        <v>0</v>
      </c>
      <c r="AJ106" s="326">
        <v>0</v>
      </c>
      <c r="AK106" s="326">
        <v>0</v>
      </c>
      <c r="AL106" s="609">
        <f t="shared" si="228"/>
        <v>-0.01</v>
      </c>
      <c r="AM106" s="493">
        <f>I106+AE106</f>
        <v>3036292</v>
      </c>
      <c r="AN106" s="492">
        <f>J106+V106</f>
        <v>2237554</v>
      </c>
      <c r="AO106" s="573">
        <f t="shared" si="229"/>
        <v>15000</v>
      </c>
      <c r="AP106" s="492">
        <f t="shared" si="230"/>
        <v>761363</v>
      </c>
      <c r="AQ106" s="492">
        <f t="shared" si="230"/>
        <v>22375</v>
      </c>
      <c r="AR106" s="492">
        <v>0</v>
      </c>
      <c r="AS106" s="491">
        <f t="shared" si="231"/>
        <v>3.4300000000000006</v>
      </c>
    </row>
    <row r="107" spans="1:45" s="152" customFormat="1" x14ac:dyDescent="0.2">
      <c r="A107" s="140">
        <v>23</v>
      </c>
      <c r="B107" s="141">
        <v>4429</v>
      </c>
      <c r="C107" s="141">
        <v>600074595</v>
      </c>
      <c r="D107" s="141">
        <v>70698520</v>
      </c>
      <c r="E107" s="139" t="s">
        <v>184</v>
      </c>
      <c r="F107" s="141">
        <v>3117</v>
      </c>
      <c r="G107" s="117" t="s">
        <v>278</v>
      </c>
      <c r="H107" s="560" t="s">
        <v>263</v>
      </c>
      <c r="I107" s="580">
        <v>936165</v>
      </c>
      <c r="J107" s="490">
        <v>694484</v>
      </c>
      <c r="K107" s="490">
        <v>0</v>
      </c>
      <c r="L107" s="55">
        <v>234736</v>
      </c>
      <c r="M107" s="55">
        <v>6945</v>
      </c>
      <c r="N107" s="55">
        <v>0</v>
      </c>
      <c r="O107" s="614">
        <v>1.75</v>
      </c>
      <c r="P107" s="440">
        <f t="shared" si="221"/>
        <v>0</v>
      </c>
      <c r="Q107" s="325">
        <v>0</v>
      </c>
      <c r="R107" s="325">
        <v>0</v>
      </c>
      <c r="S107" s="325">
        <v>0</v>
      </c>
      <c r="T107" s="325">
        <v>0</v>
      </c>
      <c r="U107" s="325">
        <v>0</v>
      </c>
      <c r="V107" s="492">
        <f t="shared" si="222"/>
        <v>0</v>
      </c>
      <c r="W107" s="325">
        <v>0</v>
      </c>
      <c r="X107" s="325">
        <v>0</v>
      </c>
      <c r="Y107" s="325">
        <v>0</v>
      </c>
      <c r="Z107" s="492">
        <f t="shared" si="223"/>
        <v>0</v>
      </c>
      <c r="AA107" s="492">
        <f t="shared" si="224"/>
        <v>0</v>
      </c>
      <c r="AB107" s="494">
        <f t="shared" si="225"/>
        <v>0</v>
      </c>
      <c r="AC107" s="494">
        <f t="shared" si="226"/>
        <v>0</v>
      </c>
      <c r="AD107" s="492">
        <v>0</v>
      </c>
      <c r="AE107" s="753">
        <f t="shared" si="227"/>
        <v>0</v>
      </c>
      <c r="AF107" s="688">
        <v>0</v>
      </c>
      <c r="AG107" s="326">
        <v>0</v>
      </c>
      <c r="AH107" s="326">
        <v>0</v>
      </c>
      <c r="AI107" s="326">
        <v>0</v>
      </c>
      <c r="AJ107" s="326">
        <v>0</v>
      </c>
      <c r="AK107" s="326">
        <v>0</v>
      </c>
      <c r="AL107" s="609">
        <f t="shared" si="228"/>
        <v>0</v>
      </c>
      <c r="AM107" s="493">
        <f>I107+AE107</f>
        <v>936165</v>
      </c>
      <c r="AN107" s="492">
        <f>J107+V107</f>
        <v>694484</v>
      </c>
      <c r="AO107" s="573">
        <f t="shared" si="229"/>
        <v>0</v>
      </c>
      <c r="AP107" s="492">
        <f t="shared" si="230"/>
        <v>234736</v>
      </c>
      <c r="AQ107" s="492">
        <f t="shared" si="230"/>
        <v>6945</v>
      </c>
      <c r="AR107" s="492">
        <v>0</v>
      </c>
      <c r="AS107" s="491">
        <f t="shared" si="231"/>
        <v>1.75</v>
      </c>
    </row>
    <row r="108" spans="1:45" s="152" customFormat="1" x14ac:dyDescent="0.2">
      <c r="A108" s="140">
        <v>23</v>
      </c>
      <c r="B108" s="141">
        <v>4429</v>
      </c>
      <c r="C108" s="141">
        <v>600074595</v>
      </c>
      <c r="D108" s="141">
        <v>70698520</v>
      </c>
      <c r="E108" s="139" t="s">
        <v>184</v>
      </c>
      <c r="F108" s="141">
        <v>3143</v>
      </c>
      <c r="G108" s="117" t="s">
        <v>794</v>
      </c>
      <c r="H108" s="157" t="s">
        <v>262</v>
      </c>
      <c r="I108" s="580">
        <v>1006921</v>
      </c>
      <c r="J108" s="490">
        <v>743996</v>
      </c>
      <c r="K108" s="490">
        <v>3000</v>
      </c>
      <c r="L108" s="55">
        <v>252485</v>
      </c>
      <c r="M108" s="55">
        <v>7440</v>
      </c>
      <c r="N108" s="55">
        <v>0</v>
      </c>
      <c r="O108" s="614">
        <v>1.53</v>
      </c>
      <c r="P108" s="440">
        <f t="shared" si="221"/>
        <v>-2000</v>
      </c>
      <c r="Q108" s="325">
        <v>0</v>
      </c>
      <c r="R108" s="325">
        <v>0</v>
      </c>
      <c r="S108" s="325">
        <v>0</v>
      </c>
      <c r="T108" s="325">
        <v>0</v>
      </c>
      <c r="U108" s="325">
        <v>0</v>
      </c>
      <c r="V108" s="492">
        <f t="shared" si="222"/>
        <v>-2000</v>
      </c>
      <c r="W108" s="325">
        <v>2000</v>
      </c>
      <c r="X108" s="325">
        <v>0</v>
      </c>
      <c r="Y108" s="325">
        <v>0</v>
      </c>
      <c r="Z108" s="492">
        <f t="shared" si="223"/>
        <v>2000</v>
      </c>
      <c r="AA108" s="492">
        <f t="shared" si="224"/>
        <v>0</v>
      </c>
      <c r="AB108" s="494">
        <f t="shared" si="225"/>
        <v>0</v>
      </c>
      <c r="AC108" s="494">
        <f t="shared" si="226"/>
        <v>-20</v>
      </c>
      <c r="AD108" s="492">
        <v>0</v>
      </c>
      <c r="AE108" s="753">
        <f t="shared" si="227"/>
        <v>-20</v>
      </c>
      <c r="AF108" s="688">
        <v>0</v>
      </c>
      <c r="AG108" s="326">
        <v>0</v>
      </c>
      <c r="AH108" s="326">
        <v>0</v>
      </c>
      <c r="AI108" s="326">
        <v>0</v>
      </c>
      <c r="AJ108" s="326">
        <v>0</v>
      </c>
      <c r="AK108" s="326">
        <v>0</v>
      </c>
      <c r="AL108" s="609">
        <f t="shared" si="228"/>
        <v>0</v>
      </c>
      <c r="AM108" s="493">
        <f>I108+AE108</f>
        <v>1006901</v>
      </c>
      <c r="AN108" s="492">
        <f>J108+V108</f>
        <v>741996</v>
      </c>
      <c r="AO108" s="573">
        <f t="shared" si="229"/>
        <v>5000</v>
      </c>
      <c r="AP108" s="492">
        <f t="shared" si="230"/>
        <v>252485</v>
      </c>
      <c r="AQ108" s="492">
        <f t="shared" si="230"/>
        <v>7420</v>
      </c>
      <c r="AR108" s="492">
        <v>0</v>
      </c>
      <c r="AS108" s="491">
        <f t="shared" si="231"/>
        <v>1.53</v>
      </c>
    </row>
    <row r="109" spans="1:45" s="152" customFormat="1" x14ac:dyDescent="0.2">
      <c r="A109" s="107">
        <v>23</v>
      </c>
      <c r="B109" s="15">
        <v>4429</v>
      </c>
      <c r="C109" s="15">
        <v>600074595</v>
      </c>
      <c r="D109" s="15">
        <v>70698520</v>
      </c>
      <c r="E109" s="116" t="s">
        <v>185</v>
      </c>
      <c r="F109" s="15"/>
      <c r="G109" s="106"/>
      <c r="H109" s="555"/>
      <c r="I109" s="758">
        <v>6514992</v>
      </c>
      <c r="J109" s="343">
        <v>4818191</v>
      </c>
      <c r="K109" s="343">
        <v>15000</v>
      </c>
      <c r="L109" s="343">
        <v>1633619</v>
      </c>
      <c r="M109" s="343">
        <v>48182</v>
      </c>
      <c r="N109" s="343">
        <v>0</v>
      </c>
      <c r="O109" s="35">
        <v>8.7100000000000009</v>
      </c>
      <c r="P109" s="346">
        <f t="shared" ref="P109:AS109" si="232">SUM(P105:P108)</f>
        <v>-10000</v>
      </c>
      <c r="Q109" s="343">
        <f t="shared" si="232"/>
        <v>0</v>
      </c>
      <c r="R109" s="343">
        <f t="shared" si="232"/>
        <v>0</v>
      </c>
      <c r="S109" s="343">
        <f t="shared" si="232"/>
        <v>0</v>
      </c>
      <c r="T109" s="343">
        <f t="shared" si="232"/>
        <v>0</v>
      </c>
      <c r="U109" s="343">
        <f t="shared" si="232"/>
        <v>0</v>
      </c>
      <c r="V109" s="343">
        <f t="shared" si="232"/>
        <v>-10000</v>
      </c>
      <c r="W109" s="343">
        <f t="shared" si="232"/>
        <v>10000</v>
      </c>
      <c r="X109" s="343">
        <f t="shared" si="232"/>
        <v>0</v>
      </c>
      <c r="Y109" s="343">
        <f t="shared" si="232"/>
        <v>0</v>
      </c>
      <c r="Z109" s="343">
        <f t="shared" si="232"/>
        <v>10000</v>
      </c>
      <c r="AA109" s="343">
        <f t="shared" si="232"/>
        <v>0</v>
      </c>
      <c r="AB109" s="343">
        <f t="shared" si="232"/>
        <v>0</v>
      </c>
      <c r="AC109" s="343">
        <f t="shared" si="232"/>
        <v>-100</v>
      </c>
      <c r="AD109" s="343">
        <f t="shared" si="232"/>
        <v>0</v>
      </c>
      <c r="AE109" s="763">
        <f t="shared" si="232"/>
        <v>-100</v>
      </c>
      <c r="AF109" s="767">
        <f t="shared" si="232"/>
        <v>-0.01</v>
      </c>
      <c r="AG109" s="344">
        <f t="shared" si="232"/>
        <v>0</v>
      </c>
      <c r="AH109" s="344">
        <f t="shared" si="232"/>
        <v>0</v>
      </c>
      <c r="AI109" s="344">
        <f t="shared" si="232"/>
        <v>0</v>
      </c>
      <c r="AJ109" s="344">
        <f t="shared" si="232"/>
        <v>0</v>
      </c>
      <c r="AK109" s="344">
        <f t="shared" si="232"/>
        <v>0</v>
      </c>
      <c r="AL109" s="35">
        <f t="shared" si="232"/>
        <v>-0.01</v>
      </c>
      <c r="AM109" s="346">
        <f t="shared" si="232"/>
        <v>6514892</v>
      </c>
      <c r="AN109" s="343">
        <f t="shared" si="232"/>
        <v>4808191</v>
      </c>
      <c r="AO109" s="343">
        <f t="shared" si="232"/>
        <v>25000</v>
      </c>
      <c r="AP109" s="343">
        <f t="shared" si="232"/>
        <v>1633619</v>
      </c>
      <c r="AQ109" s="343">
        <f t="shared" si="232"/>
        <v>48082</v>
      </c>
      <c r="AR109" s="343">
        <f t="shared" si="232"/>
        <v>0</v>
      </c>
      <c r="AS109" s="344">
        <f t="shared" si="232"/>
        <v>8.7000000000000011</v>
      </c>
    </row>
    <row r="110" spans="1:45" s="152" customFormat="1" x14ac:dyDescent="0.2">
      <c r="A110" s="140">
        <v>24</v>
      </c>
      <c r="B110" s="141">
        <v>4452</v>
      </c>
      <c r="C110" s="141">
        <v>600074919</v>
      </c>
      <c r="D110" s="141">
        <v>70698511</v>
      </c>
      <c r="E110" s="139" t="s">
        <v>186</v>
      </c>
      <c r="F110" s="141">
        <v>3113</v>
      </c>
      <c r="G110" s="117" t="s">
        <v>280</v>
      </c>
      <c r="H110" s="560" t="s">
        <v>262</v>
      </c>
      <c r="I110" s="580">
        <v>29949217</v>
      </c>
      <c r="J110" s="490">
        <v>22217520</v>
      </c>
      <c r="K110" s="490">
        <v>0</v>
      </c>
      <c r="L110" s="55">
        <v>7509522</v>
      </c>
      <c r="M110" s="55">
        <v>222175</v>
      </c>
      <c r="N110" s="55">
        <v>0</v>
      </c>
      <c r="O110" s="614">
        <v>28.64</v>
      </c>
      <c r="P110" s="445">
        <f t="shared" ref="P110:P113" si="233">W110*-1</f>
        <v>0</v>
      </c>
      <c r="Q110" s="325">
        <v>0</v>
      </c>
      <c r="R110" s="325">
        <v>0</v>
      </c>
      <c r="S110" s="325">
        <v>0</v>
      </c>
      <c r="T110" s="325">
        <v>0</v>
      </c>
      <c r="U110" s="325">
        <v>0</v>
      </c>
      <c r="V110" s="492">
        <f t="shared" ref="V110:V113" si="234">P110+Q110+R110+S110+T110+U110</f>
        <v>0</v>
      </c>
      <c r="W110" s="325">
        <v>0</v>
      </c>
      <c r="X110" s="325">
        <v>0</v>
      </c>
      <c r="Y110" s="325">
        <v>0</v>
      </c>
      <c r="Z110" s="492">
        <f t="shared" ref="Z110:Z113" si="235">W110+X110+Y110</f>
        <v>0</v>
      </c>
      <c r="AA110" s="492">
        <f t="shared" ref="AA110:AA113" si="236">V110+Z110</f>
        <v>0</v>
      </c>
      <c r="AB110" s="494">
        <f t="shared" ref="AB110:AB113" si="237">ROUND((V110+Z110)*33.8%,0)</f>
        <v>0</v>
      </c>
      <c r="AC110" s="494">
        <f t="shared" ref="AC110:AC113" si="238">ROUND(V110*1%,0)</f>
        <v>0</v>
      </c>
      <c r="AD110" s="492">
        <v>0</v>
      </c>
      <c r="AE110" s="753">
        <f t="shared" ref="AE110:AE113" si="239">AA110+AB110+AC110+AD110</f>
        <v>0</v>
      </c>
      <c r="AF110" s="688">
        <v>0</v>
      </c>
      <c r="AG110" s="326">
        <v>0</v>
      </c>
      <c r="AH110" s="326">
        <v>0</v>
      </c>
      <c r="AI110" s="326">
        <v>0</v>
      </c>
      <c r="AJ110" s="326">
        <v>0</v>
      </c>
      <c r="AK110" s="326">
        <v>0</v>
      </c>
      <c r="AL110" s="609">
        <f t="shared" ref="AL110:AL113" si="240">SUM(AF110:AK110)</f>
        <v>0</v>
      </c>
      <c r="AM110" s="493">
        <f>I110+AE110</f>
        <v>29949217</v>
      </c>
      <c r="AN110" s="492">
        <f>J110+V110</f>
        <v>22217520</v>
      </c>
      <c r="AO110" s="573">
        <f t="shared" ref="AO110:AO113" si="241">K110+Z110</f>
        <v>0</v>
      </c>
      <c r="AP110" s="492">
        <f t="shared" ref="AP110:AQ113" si="242">L110+AB110</f>
        <v>7509522</v>
      </c>
      <c r="AQ110" s="492">
        <f t="shared" si="242"/>
        <v>222175</v>
      </c>
      <c r="AR110" s="492">
        <v>0</v>
      </c>
      <c r="AS110" s="491">
        <f t="shared" ref="AS110:AS113" si="243">O110+AL110</f>
        <v>28.64</v>
      </c>
    </row>
    <row r="111" spans="1:45" s="152" customFormat="1" x14ac:dyDescent="0.2">
      <c r="A111" s="140">
        <v>24</v>
      </c>
      <c r="B111" s="141">
        <v>4452</v>
      </c>
      <c r="C111" s="141">
        <v>600074919</v>
      </c>
      <c r="D111" s="141">
        <v>70698511</v>
      </c>
      <c r="E111" s="139" t="s">
        <v>186</v>
      </c>
      <c r="F111" s="141">
        <v>3113</v>
      </c>
      <c r="G111" s="117" t="s">
        <v>279</v>
      </c>
      <c r="H111" s="560" t="s">
        <v>262</v>
      </c>
      <c r="I111" s="580">
        <v>774252</v>
      </c>
      <c r="J111" s="490">
        <v>574371</v>
      </c>
      <c r="K111" s="490">
        <v>0</v>
      </c>
      <c r="L111" s="55">
        <v>194137</v>
      </c>
      <c r="M111" s="55">
        <v>5744</v>
      </c>
      <c r="N111" s="55">
        <v>0</v>
      </c>
      <c r="O111" s="614">
        <v>1.28</v>
      </c>
      <c r="P111" s="440">
        <f t="shared" si="233"/>
        <v>0</v>
      </c>
      <c r="Q111" s="325">
        <v>0</v>
      </c>
      <c r="R111" s="325">
        <v>0</v>
      </c>
      <c r="S111" s="325">
        <v>0</v>
      </c>
      <c r="T111" s="325">
        <v>0</v>
      </c>
      <c r="U111" s="325">
        <v>0</v>
      </c>
      <c r="V111" s="492">
        <f t="shared" si="234"/>
        <v>0</v>
      </c>
      <c r="W111" s="325">
        <v>0</v>
      </c>
      <c r="X111" s="325">
        <v>0</v>
      </c>
      <c r="Y111" s="325">
        <v>0</v>
      </c>
      <c r="Z111" s="492">
        <f t="shared" si="235"/>
        <v>0</v>
      </c>
      <c r="AA111" s="492">
        <f t="shared" si="236"/>
        <v>0</v>
      </c>
      <c r="AB111" s="494">
        <f t="shared" si="237"/>
        <v>0</v>
      </c>
      <c r="AC111" s="494">
        <f t="shared" si="238"/>
        <v>0</v>
      </c>
      <c r="AD111" s="492">
        <v>0</v>
      </c>
      <c r="AE111" s="753">
        <f t="shared" si="239"/>
        <v>0</v>
      </c>
      <c r="AF111" s="688">
        <v>0</v>
      </c>
      <c r="AG111" s="326">
        <v>0</v>
      </c>
      <c r="AH111" s="326">
        <v>0</v>
      </c>
      <c r="AI111" s="326">
        <v>0</v>
      </c>
      <c r="AJ111" s="326">
        <v>0</v>
      </c>
      <c r="AK111" s="326">
        <v>0</v>
      </c>
      <c r="AL111" s="609">
        <f t="shared" si="240"/>
        <v>0</v>
      </c>
      <c r="AM111" s="493">
        <f>I111+AE111</f>
        <v>774252</v>
      </c>
      <c r="AN111" s="492">
        <f>J111+V111</f>
        <v>574371</v>
      </c>
      <c r="AO111" s="573">
        <f t="shared" si="241"/>
        <v>0</v>
      </c>
      <c r="AP111" s="492">
        <f t="shared" si="242"/>
        <v>194137</v>
      </c>
      <c r="AQ111" s="492">
        <f t="shared" si="242"/>
        <v>5744</v>
      </c>
      <c r="AR111" s="492">
        <v>0</v>
      </c>
      <c r="AS111" s="491">
        <f t="shared" si="243"/>
        <v>1.28</v>
      </c>
    </row>
    <row r="112" spans="1:45" s="152" customFormat="1" x14ac:dyDescent="0.2">
      <c r="A112" s="140">
        <v>24</v>
      </c>
      <c r="B112" s="141">
        <v>4452</v>
      </c>
      <c r="C112" s="141">
        <v>600074919</v>
      </c>
      <c r="D112" s="141">
        <v>70698511</v>
      </c>
      <c r="E112" s="139" t="s">
        <v>186</v>
      </c>
      <c r="F112" s="141">
        <v>3113</v>
      </c>
      <c r="G112" s="117" t="s">
        <v>278</v>
      </c>
      <c r="H112" s="560" t="s">
        <v>263</v>
      </c>
      <c r="I112" s="580">
        <v>2006308</v>
      </c>
      <c r="J112" s="490">
        <v>1488359</v>
      </c>
      <c r="K112" s="490">
        <v>0</v>
      </c>
      <c r="L112" s="55">
        <v>503065</v>
      </c>
      <c r="M112" s="55">
        <v>14884</v>
      </c>
      <c r="N112" s="55">
        <v>0</v>
      </c>
      <c r="O112" s="614">
        <v>3.67</v>
      </c>
      <c r="P112" s="440">
        <f t="shared" si="233"/>
        <v>0</v>
      </c>
      <c r="Q112" s="325">
        <v>0</v>
      </c>
      <c r="R112" s="325">
        <v>0</v>
      </c>
      <c r="S112" s="325">
        <v>0</v>
      </c>
      <c r="T112" s="325">
        <v>0</v>
      </c>
      <c r="U112" s="325">
        <v>0</v>
      </c>
      <c r="V112" s="492">
        <f t="shared" si="234"/>
        <v>0</v>
      </c>
      <c r="W112" s="325">
        <v>0</v>
      </c>
      <c r="X112" s="325">
        <v>0</v>
      </c>
      <c r="Y112" s="325">
        <v>0</v>
      </c>
      <c r="Z112" s="492">
        <f t="shared" si="235"/>
        <v>0</v>
      </c>
      <c r="AA112" s="492">
        <f t="shared" si="236"/>
        <v>0</v>
      </c>
      <c r="AB112" s="494">
        <f t="shared" si="237"/>
        <v>0</v>
      </c>
      <c r="AC112" s="494">
        <f t="shared" si="238"/>
        <v>0</v>
      </c>
      <c r="AD112" s="492">
        <v>0</v>
      </c>
      <c r="AE112" s="753">
        <f t="shared" si="239"/>
        <v>0</v>
      </c>
      <c r="AF112" s="688">
        <v>0</v>
      </c>
      <c r="AG112" s="326">
        <v>0</v>
      </c>
      <c r="AH112" s="326">
        <v>0</v>
      </c>
      <c r="AI112" s="326">
        <v>0</v>
      </c>
      <c r="AJ112" s="326">
        <v>0</v>
      </c>
      <c r="AK112" s="326">
        <v>0</v>
      </c>
      <c r="AL112" s="609">
        <f t="shared" si="240"/>
        <v>0</v>
      </c>
      <c r="AM112" s="493">
        <f>I112+AE112</f>
        <v>2006308</v>
      </c>
      <c r="AN112" s="492">
        <f>J112+V112</f>
        <v>1488359</v>
      </c>
      <c r="AO112" s="573">
        <f t="shared" si="241"/>
        <v>0</v>
      </c>
      <c r="AP112" s="492">
        <f t="shared" si="242"/>
        <v>503065</v>
      </c>
      <c r="AQ112" s="492">
        <f t="shared" si="242"/>
        <v>14884</v>
      </c>
      <c r="AR112" s="492">
        <v>0</v>
      </c>
      <c r="AS112" s="491">
        <f t="shared" si="243"/>
        <v>3.67</v>
      </c>
    </row>
    <row r="113" spans="1:45" s="152" customFormat="1" x14ac:dyDescent="0.2">
      <c r="A113" s="140">
        <v>24</v>
      </c>
      <c r="B113" s="141">
        <v>4452</v>
      </c>
      <c r="C113" s="141">
        <v>600074919</v>
      </c>
      <c r="D113" s="141">
        <v>70698511</v>
      </c>
      <c r="E113" s="135" t="s">
        <v>186</v>
      </c>
      <c r="F113" s="141">
        <v>3143</v>
      </c>
      <c r="G113" s="117" t="s">
        <v>794</v>
      </c>
      <c r="H113" s="157" t="s">
        <v>262</v>
      </c>
      <c r="I113" s="580">
        <v>1667049</v>
      </c>
      <c r="J113" s="490">
        <v>1236683</v>
      </c>
      <c r="K113" s="490">
        <v>0</v>
      </c>
      <c r="L113" s="55">
        <v>417999</v>
      </c>
      <c r="M113" s="55">
        <v>12367</v>
      </c>
      <c r="N113" s="55">
        <v>0</v>
      </c>
      <c r="O113" s="614">
        <v>2.27</v>
      </c>
      <c r="P113" s="440">
        <f t="shared" si="233"/>
        <v>0</v>
      </c>
      <c r="Q113" s="325">
        <v>0</v>
      </c>
      <c r="R113" s="325">
        <v>0</v>
      </c>
      <c r="S113" s="325">
        <v>0</v>
      </c>
      <c r="T113" s="325">
        <v>0</v>
      </c>
      <c r="U113" s="325">
        <v>0</v>
      </c>
      <c r="V113" s="492">
        <f t="shared" si="234"/>
        <v>0</v>
      </c>
      <c r="W113" s="325">
        <v>0</v>
      </c>
      <c r="X113" s="325">
        <v>0</v>
      </c>
      <c r="Y113" s="325">
        <v>0</v>
      </c>
      <c r="Z113" s="492">
        <f t="shared" si="235"/>
        <v>0</v>
      </c>
      <c r="AA113" s="492">
        <f t="shared" si="236"/>
        <v>0</v>
      </c>
      <c r="AB113" s="494">
        <f t="shared" si="237"/>
        <v>0</v>
      </c>
      <c r="AC113" s="494">
        <f t="shared" si="238"/>
        <v>0</v>
      </c>
      <c r="AD113" s="492">
        <v>0</v>
      </c>
      <c r="AE113" s="753">
        <f t="shared" si="239"/>
        <v>0</v>
      </c>
      <c r="AF113" s="688">
        <v>0</v>
      </c>
      <c r="AG113" s="326">
        <v>0</v>
      </c>
      <c r="AH113" s="326">
        <v>0</v>
      </c>
      <c r="AI113" s="326">
        <v>0</v>
      </c>
      <c r="AJ113" s="326">
        <v>0</v>
      </c>
      <c r="AK113" s="326">
        <v>0</v>
      </c>
      <c r="AL113" s="609">
        <f t="shared" si="240"/>
        <v>0</v>
      </c>
      <c r="AM113" s="493">
        <f>I113+AE113</f>
        <v>1667049</v>
      </c>
      <c r="AN113" s="492">
        <f>J113+V113</f>
        <v>1236683</v>
      </c>
      <c r="AO113" s="573">
        <f t="shared" si="241"/>
        <v>0</v>
      </c>
      <c r="AP113" s="492">
        <f t="shared" si="242"/>
        <v>417999</v>
      </c>
      <c r="AQ113" s="492">
        <f t="shared" si="242"/>
        <v>12367</v>
      </c>
      <c r="AR113" s="492">
        <v>0</v>
      </c>
      <c r="AS113" s="491">
        <f t="shared" si="243"/>
        <v>2.27</v>
      </c>
    </row>
    <row r="114" spans="1:45" s="152" customFormat="1" x14ac:dyDescent="0.2">
      <c r="A114" s="107">
        <v>24</v>
      </c>
      <c r="B114" s="15">
        <v>4452</v>
      </c>
      <c r="C114" s="15">
        <v>600074919</v>
      </c>
      <c r="D114" s="15">
        <v>70698511</v>
      </c>
      <c r="E114" s="116" t="s">
        <v>187</v>
      </c>
      <c r="F114" s="15"/>
      <c r="G114" s="106"/>
      <c r="H114" s="555"/>
      <c r="I114" s="758">
        <v>34396826</v>
      </c>
      <c r="J114" s="343">
        <v>25516933</v>
      </c>
      <c r="K114" s="343">
        <v>0</v>
      </c>
      <c r="L114" s="343">
        <v>8624723</v>
      </c>
      <c r="M114" s="343">
        <v>255170</v>
      </c>
      <c r="N114" s="343">
        <v>0</v>
      </c>
      <c r="O114" s="35">
        <v>35.860000000000007</v>
      </c>
      <c r="P114" s="346">
        <f t="shared" ref="P114:AS114" si="244">SUM(P110:P113)</f>
        <v>0</v>
      </c>
      <c r="Q114" s="343">
        <f t="shared" si="244"/>
        <v>0</v>
      </c>
      <c r="R114" s="343">
        <f t="shared" si="244"/>
        <v>0</v>
      </c>
      <c r="S114" s="343">
        <f t="shared" si="244"/>
        <v>0</v>
      </c>
      <c r="T114" s="343">
        <f t="shared" si="244"/>
        <v>0</v>
      </c>
      <c r="U114" s="343">
        <f t="shared" si="244"/>
        <v>0</v>
      </c>
      <c r="V114" s="343">
        <f t="shared" si="244"/>
        <v>0</v>
      </c>
      <c r="W114" s="343">
        <f t="shared" si="244"/>
        <v>0</v>
      </c>
      <c r="X114" s="343">
        <f t="shared" si="244"/>
        <v>0</v>
      </c>
      <c r="Y114" s="343">
        <f t="shared" si="244"/>
        <v>0</v>
      </c>
      <c r="Z114" s="343">
        <f t="shared" si="244"/>
        <v>0</v>
      </c>
      <c r="AA114" s="343">
        <f t="shared" si="244"/>
        <v>0</v>
      </c>
      <c r="AB114" s="343">
        <f t="shared" si="244"/>
        <v>0</v>
      </c>
      <c r="AC114" s="343">
        <f t="shared" si="244"/>
        <v>0</v>
      </c>
      <c r="AD114" s="343">
        <f t="shared" si="244"/>
        <v>0</v>
      </c>
      <c r="AE114" s="763">
        <f t="shared" si="244"/>
        <v>0</v>
      </c>
      <c r="AF114" s="767">
        <f t="shared" si="244"/>
        <v>0</v>
      </c>
      <c r="AG114" s="344">
        <f t="shared" si="244"/>
        <v>0</v>
      </c>
      <c r="AH114" s="344">
        <f t="shared" si="244"/>
        <v>0</v>
      </c>
      <c r="AI114" s="344">
        <f t="shared" si="244"/>
        <v>0</v>
      </c>
      <c r="AJ114" s="344">
        <f t="shared" si="244"/>
        <v>0</v>
      </c>
      <c r="AK114" s="344">
        <f t="shared" si="244"/>
        <v>0</v>
      </c>
      <c r="AL114" s="35">
        <f t="shared" si="244"/>
        <v>0</v>
      </c>
      <c r="AM114" s="346">
        <f t="shared" si="244"/>
        <v>34396826</v>
      </c>
      <c r="AN114" s="343">
        <f t="shared" si="244"/>
        <v>25516933</v>
      </c>
      <c r="AO114" s="343">
        <f t="shared" si="244"/>
        <v>0</v>
      </c>
      <c r="AP114" s="343">
        <f t="shared" si="244"/>
        <v>8624723</v>
      </c>
      <c r="AQ114" s="343">
        <f t="shared" si="244"/>
        <v>255170</v>
      </c>
      <c r="AR114" s="343">
        <f t="shared" si="244"/>
        <v>0</v>
      </c>
      <c r="AS114" s="344">
        <f t="shared" si="244"/>
        <v>35.860000000000007</v>
      </c>
    </row>
    <row r="115" spans="1:45" s="152" customFormat="1" x14ac:dyDescent="0.2">
      <c r="A115" s="140">
        <v>25</v>
      </c>
      <c r="B115" s="141">
        <v>4468</v>
      </c>
      <c r="C115" s="141">
        <v>600075052</v>
      </c>
      <c r="D115" s="141">
        <v>70698546</v>
      </c>
      <c r="E115" s="139" t="s">
        <v>188</v>
      </c>
      <c r="F115" s="141">
        <v>3231</v>
      </c>
      <c r="G115" s="117" t="s">
        <v>281</v>
      </c>
      <c r="H115" s="560" t="s">
        <v>262</v>
      </c>
      <c r="I115" s="580">
        <v>8518287</v>
      </c>
      <c r="J115" s="490">
        <v>6319204</v>
      </c>
      <c r="K115" s="490">
        <v>0</v>
      </c>
      <c r="L115" s="55">
        <v>2135891</v>
      </c>
      <c r="M115" s="55">
        <v>63192</v>
      </c>
      <c r="N115" s="55">
        <v>0</v>
      </c>
      <c r="O115" s="614">
        <v>9.4600000000000009</v>
      </c>
      <c r="P115" s="445">
        <f>W115*-1</f>
        <v>0</v>
      </c>
      <c r="Q115" s="325">
        <v>0</v>
      </c>
      <c r="R115" s="325">
        <v>0</v>
      </c>
      <c r="S115" s="325">
        <v>0</v>
      </c>
      <c r="T115" s="325">
        <v>0</v>
      </c>
      <c r="U115" s="325">
        <v>0</v>
      </c>
      <c r="V115" s="492">
        <f>P115+Q115+R115+S115+T115+U115</f>
        <v>0</v>
      </c>
      <c r="W115" s="325">
        <v>0</v>
      </c>
      <c r="X115" s="325">
        <v>0</v>
      </c>
      <c r="Y115" s="325">
        <v>0</v>
      </c>
      <c r="Z115" s="492">
        <f>W115+X115+Y115</f>
        <v>0</v>
      </c>
      <c r="AA115" s="492">
        <f>V115+Z115</f>
        <v>0</v>
      </c>
      <c r="AB115" s="494">
        <f>ROUND((V115+Z115)*33.8%,0)</f>
        <v>0</v>
      </c>
      <c r="AC115" s="494">
        <f>ROUND(V115*1%,0)</f>
        <v>0</v>
      </c>
      <c r="AD115" s="492">
        <v>0</v>
      </c>
      <c r="AE115" s="753">
        <f>AA115+AB115+AC115+AD115</f>
        <v>0</v>
      </c>
      <c r="AF115" s="688">
        <v>0</v>
      </c>
      <c r="AG115" s="326">
        <v>0</v>
      </c>
      <c r="AH115" s="326">
        <v>0</v>
      </c>
      <c r="AI115" s="326">
        <v>0</v>
      </c>
      <c r="AJ115" s="326">
        <v>0</v>
      </c>
      <c r="AK115" s="326">
        <v>0</v>
      </c>
      <c r="AL115" s="609">
        <f>SUM(AF115:AK115)</f>
        <v>0</v>
      </c>
      <c r="AM115" s="493">
        <f>I115+AE115</f>
        <v>8518287</v>
      </c>
      <c r="AN115" s="492">
        <f>J115+V115</f>
        <v>6319204</v>
      </c>
      <c r="AO115" s="573">
        <f>K115+Z115</f>
        <v>0</v>
      </c>
      <c r="AP115" s="492">
        <f>L115+AB115</f>
        <v>2135891</v>
      </c>
      <c r="AQ115" s="492">
        <f>M115+AC115</f>
        <v>63192</v>
      </c>
      <c r="AR115" s="492">
        <v>0</v>
      </c>
      <c r="AS115" s="491">
        <f>O115+AL115</f>
        <v>9.4600000000000009</v>
      </c>
    </row>
    <row r="116" spans="1:45" s="152" customFormat="1" x14ac:dyDescent="0.2">
      <c r="A116" s="107">
        <v>25</v>
      </c>
      <c r="B116" s="15">
        <v>4468</v>
      </c>
      <c r="C116" s="15">
        <v>600075052</v>
      </c>
      <c r="D116" s="15">
        <v>70698546</v>
      </c>
      <c r="E116" s="116" t="s">
        <v>189</v>
      </c>
      <c r="F116" s="15"/>
      <c r="G116" s="106"/>
      <c r="H116" s="555"/>
      <c r="I116" s="758">
        <v>8518287</v>
      </c>
      <c r="J116" s="343">
        <v>6319204</v>
      </c>
      <c r="K116" s="343">
        <v>0</v>
      </c>
      <c r="L116" s="343">
        <v>2135891</v>
      </c>
      <c r="M116" s="343">
        <v>63192</v>
      </c>
      <c r="N116" s="343">
        <v>0</v>
      </c>
      <c r="O116" s="35">
        <v>9.4600000000000009</v>
      </c>
      <c r="P116" s="346">
        <f t="shared" ref="P116:AS116" si="245">SUM(P115)</f>
        <v>0</v>
      </c>
      <c r="Q116" s="343">
        <f t="shared" si="245"/>
        <v>0</v>
      </c>
      <c r="R116" s="343">
        <f t="shared" si="245"/>
        <v>0</v>
      </c>
      <c r="S116" s="343">
        <f t="shared" si="245"/>
        <v>0</v>
      </c>
      <c r="T116" s="343">
        <f t="shared" si="245"/>
        <v>0</v>
      </c>
      <c r="U116" s="343">
        <f t="shared" si="245"/>
        <v>0</v>
      </c>
      <c r="V116" s="343">
        <f t="shared" si="245"/>
        <v>0</v>
      </c>
      <c r="W116" s="343">
        <f t="shared" si="245"/>
        <v>0</v>
      </c>
      <c r="X116" s="343">
        <f t="shared" si="245"/>
        <v>0</v>
      </c>
      <c r="Y116" s="343">
        <f t="shared" si="245"/>
        <v>0</v>
      </c>
      <c r="Z116" s="343">
        <f t="shared" si="245"/>
        <v>0</v>
      </c>
      <c r="AA116" s="343">
        <f t="shared" si="245"/>
        <v>0</v>
      </c>
      <c r="AB116" s="343">
        <f t="shared" si="245"/>
        <v>0</v>
      </c>
      <c r="AC116" s="343">
        <f t="shared" si="245"/>
        <v>0</v>
      </c>
      <c r="AD116" s="343">
        <f t="shared" si="245"/>
        <v>0</v>
      </c>
      <c r="AE116" s="763">
        <f t="shared" si="245"/>
        <v>0</v>
      </c>
      <c r="AF116" s="767">
        <f t="shared" si="245"/>
        <v>0</v>
      </c>
      <c r="AG116" s="344">
        <f t="shared" si="245"/>
        <v>0</v>
      </c>
      <c r="AH116" s="344">
        <f t="shared" si="245"/>
        <v>0</v>
      </c>
      <c r="AI116" s="344">
        <f t="shared" si="245"/>
        <v>0</v>
      </c>
      <c r="AJ116" s="344">
        <f t="shared" si="245"/>
        <v>0</v>
      </c>
      <c r="AK116" s="344">
        <f t="shared" si="245"/>
        <v>0</v>
      </c>
      <c r="AL116" s="35">
        <f t="shared" si="245"/>
        <v>0</v>
      </c>
      <c r="AM116" s="346">
        <f t="shared" si="245"/>
        <v>8518287</v>
      </c>
      <c r="AN116" s="343">
        <f t="shared" si="245"/>
        <v>6319204</v>
      </c>
      <c r="AO116" s="343">
        <f t="shared" si="245"/>
        <v>0</v>
      </c>
      <c r="AP116" s="343">
        <f t="shared" si="245"/>
        <v>2135891</v>
      </c>
      <c r="AQ116" s="343">
        <f t="shared" si="245"/>
        <v>63192</v>
      </c>
      <c r="AR116" s="343">
        <f t="shared" si="245"/>
        <v>0</v>
      </c>
      <c r="AS116" s="344">
        <f t="shared" si="245"/>
        <v>9.4600000000000009</v>
      </c>
    </row>
    <row r="117" spans="1:45" s="152" customFormat="1" x14ac:dyDescent="0.2">
      <c r="A117" s="140">
        <v>26</v>
      </c>
      <c r="B117" s="141">
        <v>4414</v>
      </c>
      <c r="C117" s="141">
        <v>600074307</v>
      </c>
      <c r="D117" s="141">
        <v>70695831</v>
      </c>
      <c r="E117" s="139" t="s">
        <v>190</v>
      </c>
      <c r="F117" s="141">
        <v>3111</v>
      </c>
      <c r="G117" s="117" t="s">
        <v>277</v>
      </c>
      <c r="H117" s="560" t="s">
        <v>262</v>
      </c>
      <c r="I117" s="580">
        <v>5173593</v>
      </c>
      <c r="J117" s="490">
        <v>3837977</v>
      </c>
      <c r="K117" s="490">
        <v>0</v>
      </c>
      <c r="L117" s="55">
        <v>1297236</v>
      </c>
      <c r="M117" s="55">
        <v>38380</v>
      </c>
      <c r="N117" s="55">
        <v>0</v>
      </c>
      <c r="O117" s="614">
        <v>6.21</v>
      </c>
      <c r="P117" s="445">
        <f>W117*-1</f>
        <v>0</v>
      </c>
      <c r="Q117" s="325">
        <v>0</v>
      </c>
      <c r="R117" s="325">
        <v>0</v>
      </c>
      <c r="S117" s="325">
        <v>0</v>
      </c>
      <c r="T117" s="325">
        <v>0</v>
      </c>
      <c r="U117" s="325">
        <v>0</v>
      </c>
      <c r="V117" s="492">
        <f t="shared" ref="V117:V118" si="246">P117+Q117+R117+S117+T117+U117</f>
        <v>0</v>
      </c>
      <c r="W117" s="325">
        <v>0</v>
      </c>
      <c r="X117" s="325">
        <v>0</v>
      </c>
      <c r="Y117" s="325">
        <v>0</v>
      </c>
      <c r="Z117" s="492">
        <f t="shared" ref="Z117:Z118" si="247">W117+X117+Y117</f>
        <v>0</v>
      </c>
      <c r="AA117" s="492">
        <f t="shared" ref="AA117:AA118" si="248">V117+Z117</f>
        <v>0</v>
      </c>
      <c r="AB117" s="494">
        <f t="shared" ref="AB117:AB118" si="249">ROUND((V117+Z117)*33.8%,0)</f>
        <v>0</v>
      </c>
      <c r="AC117" s="494">
        <f t="shared" ref="AC117:AC118" si="250">ROUND(V117*1%,0)</f>
        <v>0</v>
      </c>
      <c r="AD117" s="492">
        <v>0</v>
      </c>
      <c r="AE117" s="753">
        <f t="shared" ref="AE117:AE118" si="251">AA117+AB117+AC117+AD117</f>
        <v>0</v>
      </c>
      <c r="AF117" s="688">
        <v>0</v>
      </c>
      <c r="AG117" s="326">
        <v>0</v>
      </c>
      <c r="AH117" s="326">
        <v>0</v>
      </c>
      <c r="AI117" s="326">
        <v>0</v>
      </c>
      <c r="AJ117" s="326">
        <v>0</v>
      </c>
      <c r="AK117" s="326">
        <v>0</v>
      </c>
      <c r="AL117" s="609">
        <f t="shared" ref="AL117:AL118" si="252">SUM(AF117:AK117)</f>
        <v>0</v>
      </c>
      <c r="AM117" s="493">
        <f>I117+AE117</f>
        <v>5173593</v>
      </c>
      <c r="AN117" s="492">
        <f>J117+V117</f>
        <v>3837977</v>
      </c>
      <c r="AO117" s="573">
        <f t="shared" ref="AO117:AO118" si="253">K117+Z117</f>
        <v>0</v>
      </c>
      <c r="AP117" s="492">
        <f>L117+AB117</f>
        <v>1297236</v>
      </c>
      <c r="AQ117" s="492">
        <f>M117+AC117</f>
        <v>38380</v>
      </c>
      <c r="AR117" s="492">
        <v>0</v>
      </c>
      <c r="AS117" s="491">
        <f t="shared" ref="AS117:AS118" si="254">O117+AL117</f>
        <v>6.21</v>
      </c>
    </row>
    <row r="118" spans="1:45" s="152" customFormat="1" x14ac:dyDescent="0.2">
      <c r="A118" s="140">
        <v>26</v>
      </c>
      <c r="B118" s="141">
        <v>4414</v>
      </c>
      <c r="C118" s="141">
        <v>600074307</v>
      </c>
      <c r="D118" s="141">
        <v>70695831</v>
      </c>
      <c r="E118" s="139" t="s">
        <v>190</v>
      </c>
      <c r="F118" s="141">
        <v>3111</v>
      </c>
      <c r="G118" s="117" t="s">
        <v>278</v>
      </c>
      <c r="H118" s="560" t="s">
        <v>263</v>
      </c>
      <c r="I118" s="580">
        <v>1366441</v>
      </c>
      <c r="J118" s="490">
        <v>1013680</v>
      </c>
      <c r="K118" s="490">
        <v>0</v>
      </c>
      <c r="L118" s="55">
        <v>342624</v>
      </c>
      <c r="M118" s="55">
        <v>10137</v>
      </c>
      <c r="N118" s="55">
        <v>0</v>
      </c>
      <c r="O118" s="614">
        <v>2.73</v>
      </c>
      <c r="P118" s="440">
        <f>W118*-1</f>
        <v>0</v>
      </c>
      <c r="Q118" s="325">
        <v>0</v>
      </c>
      <c r="R118" s="325">
        <v>0</v>
      </c>
      <c r="S118" s="325">
        <v>0</v>
      </c>
      <c r="T118" s="325">
        <v>0</v>
      </c>
      <c r="U118" s="325">
        <v>0</v>
      </c>
      <c r="V118" s="492">
        <f t="shared" si="246"/>
        <v>0</v>
      </c>
      <c r="W118" s="325">
        <v>0</v>
      </c>
      <c r="X118" s="325">
        <v>0</v>
      </c>
      <c r="Y118" s="325">
        <v>0</v>
      </c>
      <c r="Z118" s="492">
        <f t="shared" si="247"/>
        <v>0</v>
      </c>
      <c r="AA118" s="492">
        <f t="shared" si="248"/>
        <v>0</v>
      </c>
      <c r="AB118" s="494">
        <f t="shared" si="249"/>
        <v>0</v>
      </c>
      <c r="AC118" s="494">
        <f t="shared" si="250"/>
        <v>0</v>
      </c>
      <c r="AD118" s="492">
        <v>0</v>
      </c>
      <c r="AE118" s="753">
        <f t="shared" si="251"/>
        <v>0</v>
      </c>
      <c r="AF118" s="688">
        <v>0</v>
      </c>
      <c r="AG118" s="326">
        <v>0</v>
      </c>
      <c r="AH118" s="326">
        <v>0</v>
      </c>
      <c r="AI118" s="326">
        <v>0</v>
      </c>
      <c r="AJ118" s="326">
        <v>0</v>
      </c>
      <c r="AK118" s="326">
        <v>0</v>
      </c>
      <c r="AL118" s="609">
        <f t="shared" si="252"/>
        <v>0</v>
      </c>
      <c r="AM118" s="493">
        <f>I118+AE118</f>
        <v>1366441</v>
      </c>
      <c r="AN118" s="492">
        <f>J118+V118</f>
        <v>1013680</v>
      </c>
      <c r="AO118" s="573">
        <f t="shared" si="253"/>
        <v>0</v>
      </c>
      <c r="AP118" s="492">
        <f>L118+AB118</f>
        <v>342624</v>
      </c>
      <c r="AQ118" s="492">
        <f>M118+AC118</f>
        <v>10137</v>
      </c>
      <c r="AR118" s="492">
        <v>0</v>
      </c>
      <c r="AS118" s="491">
        <f t="shared" si="254"/>
        <v>2.73</v>
      </c>
    </row>
    <row r="119" spans="1:45" s="152" customFormat="1" x14ac:dyDescent="0.2">
      <c r="A119" s="107">
        <v>26</v>
      </c>
      <c r="B119" s="15">
        <v>4414</v>
      </c>
      <c r="C119" s="15">
        <v>600074307</v>
      </c>
      <c r="D119" s="15">
        <v>70695831</v>
      </c>
      <c r="E119" s="116" t="s">
        <v>191</v>
      </c>
      <c r="F119" s="15"/>
      <c r="G119" s="106"/>
      <c r="H119" s="555"/>
      <c r="I119" s="758">
        <v>6540034</v>
      </c>
      <c r="J119" s="343">
        <v>4851657</v>
      </c>
      <c r="K119" s="343">
        <v>0</v>
      </c>
      <c r="L119" s="343">
        <v>1639860</v>
      </c>
      <c r="M119" s="343">
        <v>48517</v>
      </c>
      <c r="N119" s="343">
        <v>0</v>
      </c>
      <c r="O119" s="35">
        <v>8.94</v>
      </c>
      <c r="P119" s="346">
        <f t="shared" ref="P119:AS119" si="255">SUM(P117:P118)</f>
        <v>0</v>
      </c>
      <c r="Q119" s="343">
        <f t="shared" si="255"/>
        <v>0</v>
      </c>
      <c r="R119" s="343">
        <f t="shared" si="255"/>
        <v>0</v>
      </c>
      <c r="S119" s="343">
        <f t="shared" si="255"/>
        <v>0</v>
      </c>
      <c r="T119" s="343">
        <f t="shared" si="255"/>
        <v>0</v>
      </c>
      <c r="U119" s="343">
        <f t="shared" si="255"/>
        <v>0</v>
      </c>
      <c r="V119" s="343">
        <f t="shared" si="255"/>
        <v>0</v>
      </c>
      <c r="W119" s="343">
        <f t="shared" si="255"/>
        <v>0</v>
      </c>
      <c r="X119" s="343">
        <f t="shared" si="255"/>
        <v>0</v>
      </c>
      <c r="Y119" s="343">
        <f t="shared" si="255"/>
        <v>0</v>
      </c>
      <c r="Z119" s="343">
        <f t="shared" si="255"/>
        <v>0</v>
      </c>
      <c r="AA119" s="343">
        <f t="shared" si="255"/>
        <v>0</v>
      </c>
      <c r="AB119" s="343">
        <f t="shared" si="255"/>
        <v>0</v>
      </c>
      <c r="AC119" s="343">
        <f t="shared" si="255"/>
        <v>0</v>
      </c>
      <c r="AD119" s="343">
        <f t="shared" si="255"/>
        <v>0</v>
      </c>
      <c r="AE119" s="763">
        <f t="shared" si="255"/>
        <v>0</v>
      </c>
      <c r="AF119" s="767">
        <f t="shared" si="255"/>
        <v>0</v>
      </c>
      <c r="AG119" s="344">
        <f t="shared" si="255"/>
        <v>0</v>
      </c>
      <c r="AH119" s="344">
        <f t="shared" si="255"/>
        <v>0</v>
      </c>
      <c r="AI119" s="344">
        <f t="shared" si="255"/>
        <v>0</v>
      </c>
      <c r="AJ119" s="344">
        <f t="shared" si="255"/>
        <v>0</v>
      </c>
      <c r="AK119" s="344">
        <f t="shared" si="255"/>
        <v>0</v>
      </c>
      <c r="AL119" s="35">
        <f t="shared" si="255"/>
        <v>0</v>
      </c>
      <c r="AM119" s="346">
        <f t="shared" si="255"/>
        <v>6540034</v>
      </c>
      <c r="AN119" s="343">
        <f t="shared" si="255"/>
        <v>4851657</v>
      </c>
      <c r="AO119" s="343">
        <f t="shared" si="255"/>
        <v>0</v>
      </c>
      <c r="AP119" s="343">
        <f t="shared" si="255"/>
        <v>1639860</v>
      </c>
      <c r="AQ119" s="343">
        <f t="shared" si="255"/>
        <v>48517</v>
      </c>
      <c r="AR119" s="343">
        <f t="shared" si="255"/>
        <v>0</v>
      </c>
      <c r="AS119" s="344">
        <f t="shared" si="255"/>
        <v>8.94</v>
      </c>
    </row>
    <row r="120" spans="1:45" s="152" customFormat="1" x14ac:dyDescent="0.2">
      <c r="A120" s="140">
        <v>27</v>
      </c>
      <c r="B120" s="141">
        <v>4444</v>
      </c>
      <c r="C120" s="141">
        <v>600074731</v>
      </c>
      <c r="D120" s="141">
        <v>48282979</v>
      </c>
      <c r="E120" s="139" t="s">
        <v>192</v>
      </c>
      <c r="F120" s="141">
        <v>3113</v>
      </c>
      <c r="G120" s="117" t="s">
        <v>280</v>
      </c>
      <c r="H120" s="560" t="s">
        <v>262</v>
      </c>
      <c r="I120" s="580">
        <v>14169136</v>
      </c>
      <c r="J120" s="490">
        <v>10511229</v>
      </c>
      <c r="K120" s="490">
        <v>0</v>
      </c>
      <c r="L120" s="55">
        <v>3552795</v>
      </c>
      <c r="M120" s="55">
        <v>105112</v>
      </c>
      <c r="N120" s="55">
        <v>0</v>
      </c>
      <c r="O120" s="614">
        <v>14.59</v>
      </c>
      <c r="P120" s="445">
        <f t="shared" ref="P120:P123" si="256">W120*-1</f>
        <v>0</v>
      </c>
      <c r="Q120" s="325">
        <v>0</v>
      </c>
      <c r="R120" s="325">
        <v>0</v>
      </c>
      <c r="S120" s="325">
        <v>0</v>
      </c>
      <c r="T120" s="325">
        <v>0</v>
      </c>
      <c r="U120" s="325">
        <v>0</v>
      </c>
      <c r="V120" s="492">
        <f t="shared" ref="V120:V123" si="257">P120+Q120+R120+S120+T120+U120</f>
        <v>0</v>
      </c>
      <c r="W120" s="325">
        <v>0</v>
      </c>
      <c r="X120" s="325">
        <v>0</v>
      </c>
      <c r="Y120" s="325">
        <v>0</v>
      </c>
      <c r="Z120" s="492">
        <f t="shared" ref="Z120:Z123" si="258">W120+X120+Y120</f>
        <v>0</v>
      </c>
      <c r="AA120" s="492">
        <f t="shared" ref="AA120:AA123" si="259">V120+Z120</f>
        <v>0</v>
      </c>
      <c r="AB120" s="494">
        <f t="shared" ref="AB120:AB123" si="260">ROUND((V120+Z120)*33.8%,0)</f>
        <v>0</v>
      </c>
      <c r="AC120" s="494">
        <f t="shared" ref="AC120:AC123" si="261">ROUND(V120*1%,0)</f>
        <v>0</v>
      </c>
      <c r="AD120" s="492">
        <v>0</v>
      </c>
      <c r="AE120" s="753">
        <f t="shared" ref="AE120:AE123" si="262">AA120+AB120+AC120+AD120</f>
        <v>0</v>
      </c>
      <c r="AF120" s="688">
        <v>0</v>
      </c>
      <c r="AG120" s="326">
        <v>0</v>
      </c>
      <c r="AH120" s="326">
        <v>0</v>
      </c>
      <c r="AI120" s="326">
        <v>0</v>
      </c>
      <c r="AJ120" s="326">
        <v>0</v>
      </c>
      <c r="AK120" s="326">
        <v>0</v>
      </c>
      <c r="AL120" s="609">
        <f t="shared" ref="AL120:AL123" si="263">SUM(AF120:AK120)</f>
        <v>0</v>
      </c>
      <c r="AM120" s="493">
        <f>I120+AE120</f>
        <v>14169136</v>
      </c>
      <c r="AN120" s="492">
        <f>J120+V120</f>
        <v>10511229</v>
      </c>
      <c r="AO120" s="573">
        <f t="shared" ref="AO120:AO123" si="264">K120+Z120</f>
        <v>0</v>
      </c>
      <c r="AP120" s="492">
        <f t="shared" ref="AP120:AQ123" si="265">L120+AB120</f>
        <v>3552795</v>
      </c>
      <c r="AQ120" s="492">
        <f t="shared" si="265"/>
        <v>105112</v>
      </c>
      <c r="AR120" s="492">
        <v>0</v>
      </c>
      <c r="AS120" s="491">
        <f t="shared" ref="AS120:AS123" si="266">O120+AL120</f>
        <v>14.59</v>
      </c>
    </row>
    <row r="121" spans="1:45" s="152" customFormat="1" x14ac:dyDescent="0.2">
      <c r="A121" s="140">
        <v>27</v>
      </c>
      <c r="B121" s="141">
        <v>4444</v>
      </c>
      <c r="C121" s="141">
        <v>600074731</v>
      </c>
      <c r="D121" s="141">
        <v>48282979</v>
      </c>
      <c r="E121" s="139" t="s">
        <v>192</v>
      </c>
      <c r="F121" s="141">
        <v>3113</v>
      </c>
      <c r="G121" s="117" t="s">
        <v>284</v>
      </c>
      <c r="H121" s="560" t="s">
        <v>263</v>
      </c>
      <c r="I121" s="580">
        <v>2823362</v>
      </c>
      <c r="J121" s="490">
        <v>2094482</v>
      </c>
      <c r="K121" s="490">
        <v>0</v>
      </c>
      <c r="L121" s="55">
        <v>707935</v>
      </c>
      <c r="M121" s="55">
        <v>20945</v>
      </c>
      <c r="N121" s="55">
        <v>0</v>
      </c>
      <c r="O121" s="614">
        <v>5.28</v>
      </c>
      <c r="P121" s="440">
        <f t="shared" si="256"/>
        <v>0</v>
      </c>
      <c r="Q121" s="325">
        <v>0</v>
      </c>
      <c r="R121" s="325">
        <v>0</v>
      </c>
      <c r="S121" s="325">
        <v>0</v>
      </c>
      <c r="T121" s="325">
        <v>0</v>
      </c>
      <c r="U121" s="325">
        <v>0</v>
      </c>
      <c r="V121" s="492">
        <f t="shared" si="257"/>
        <v>0</v>
      </c>
      <c r="W121" s="325">
        <v>0</v>
      </c>
      <c r="X121" s="325">
        <v>0</v>
      </c>
      <c r="Y121" s="325">
        <v>0</v>
      </c>
      <c r="Z121" s="492">
        <f t="shared" si="258"/>
        <v>0</v>
      </c>
      <c r="AA121" s="492">
        <f t="shared" si="259"/>
        <v>0</v>
      </c>
      <c r="AB121" s="494">
        <f t="shared" si="260"/>
        <v>0</v>
      </c>
      <c r="AC121" s="494">
        <f t="shared" si="261"/>
        <v>0</v>
      </c>
      <c r="AD121" s="492">
        <v>0</v>
      </c>
      <c r="AE121" s="753">
        <f t="shared" si="262"/>
        <v>0</v>
      </c>
      <c r="AF121" s="688">
        <v>0</v>
      </c>
      <c r="AG121" s="326">
        <v>0</v>
      </c>
      <c r="AH121" s="326">
        <v>0</v>
      </c>
      <c r="AI121" s="326">
        <v>0</v>
      </c>
      <c r="AJ121" s="326">
        <v>0</v>
      </c>
      <c r="AK121" s="326">
        <v>0</v>
      </c>
      <c r="AL121" s="609">
        <f t="shared" si="263"/>
        <v>0</v>
      </c>
      <c r="AM121" s="493">
        <f>I121+AE121</f>
        <v>2823362</v>
      </c>
      <c r="AN121" s="492">
        <f>J121+V121</f>
        <v>2094482</v>
      </c>
      <c r="AO121" s="573">
        <f t="shared" si="264"/>
        <v>0</v>
      </c>
      <c r="AP121" s="492">
        <f t="shared" si="265"/>
        <v>707935</v>
      </c>
      <c r="AQ121" s="492">
        <f t="shared" si="265"/>
        <v>20945</v>
      </c>
      <c r="AR121" s="492">
        <v>0</v>
      </c>
      <c r="AS121" s="491">
        <f t="shared" si="266"/>
        <v>5.28</v>
      </c>
    </row>
    <row r="122" spans="1:45" s="152" customFormat="1" x14ac:dyDescent="0.2">
      <c r="A122" s="140">
        <v>27</v>
      </c>
      <c r="B122" s="141">
        <v>4444</v>
      </c>
      <c r="C122" s="141">
        <v>600074731</v>
      </c>
      <c r="D122" s="141">
        <v>48282979</v>
      </c>
      <c r="E122" s="139" t="s">
        <v>192</v>
      </c>
      <c r="F122" s="141">
        <v>3143</v>
      </c>
      <c r="G122" s="117" t="s">
        <v>794</v>
      </c>
      <c r="H122" s="157" t="s">
        <v>262</v>
      </c>
      <c r="I122" s="580">
        <v>1712573</v>
      </c>
      <c r="J122" s="490">
        <v>1228766</v>
      </c>
      <c r="K122" s="490">
        <v>42000</v>
      </c>
      <c r="L122" s="55">
        <v>429519</v>
      </c>
      <c r="M122" s="55">
        <v>12288</v>
      </c>
      <c r="N122" s="55">
        <v>0</v>
      </c>
      <c r="O122" s="614">
        <v>2.4</v>
      </c>
      <c r="P122" s="440">
        <f t="shared" si="256"/>
        <v>-28000</v>
      </c>
      <c r="Q122" s="325">
        <v>0</v>
      </c>
      <c r="R122" s="325">
        <v>0</v>
      </c>
      <c r="S122" s="325">
        <v>0</v>
      </c>
      <c r="T122" s="325">
        <v>0</v>
      </c>
      <c r="U122" s="325">
        <v>0</v>
      </c>
      <c r="V122" s="492">
        <f t="shared" si="257"/>
        <v>-28000</v>
      </c>
      <c r="W122" s="325">
        <v>28000</v>
      </c>
      <c r="X122" s="325">
        <v>0</v>
      </c>
      <c r="Y122" s="325">
        <v>0</v>
      </c>
      <c r="Z122" s="492">
        <f t="shared" si="258"/>
        <v>28000</v>
      </c>
      <c r="AA122" s="492">
        <f t="shared" si="259"/>
        <v>0</v>
      </c>
      <c r="AB122" s="494">
        <f t="shared" si="260"/>
        <v>0</v>
      </c>
      <c r="AC122" s="494">
        <f t="shared" si="261"/>
        <v>-280</v>
      </c>
      <c r="AD122" s="492">
        <v>0</v>
      </c>
      <c r="AE122" s="753">
        <f t="shared" si="262"/>
        <v>-280</v>
      </c>
      <c r="AF122" s="688">
        <v>-0.06</v>
      </c>
      <c r="AG122" s="326">
        <v>0</v>
      </c>
      <c r="AH122" s="326">
        <v>0</v>
      </c>
      <c r="AI122" s="326">
        <v>0</v>
      </c>
      <c r="AJ122" s="326">
        <v>0</v>
      </c>
      <c r="AK122" s="326">
        <v>0</v>
      </c>
      <c r="AL122" s="609">
        <f t="shared" si="263"/>
        <v>-0.06</v>
      </c>
      <c r="AM122" s="493">
        <f>I122+AE122</f>
        <v>1712293</v>
      </c>
      <c r="AN122" s="492">
        <f>J122+V122</f>
        <v>1200766</v>
      </c>
      <c r="AO122" s="573">
        <f t="shared" si="264"/>
        <v>70000</v>
      </c>
      <c r="AP122" s="492">
        <f t="shared" si="265"/>
        <v>429519</v>
      </c>
      <c r="AQ122" s="492">
        <f t="shared" si="265"/>
        <v>12008</v>
      </c>
      <c r="AR122" s="492">
        <v>0</v>
      </c>
      <c r="AS122" s="491">
        <f t="shared" si="266"/>
        <v>2.34</v>
      </c>
    </row>
    <row r="123" spans="1:45" s="152" customFormat="1" x14ac:dyDescent="0.2">
      <c r="A123" s="140">
        <v>27</v>
      </c>
      <c r="B123" s="141">
        <v>4444</v>
      </c>
      <c r="C123" s="141">
        <v>600074731</v>
      </c>
      <c r="D123" s="141">
        <v>48282979</v>
      </c>
      <c r="E123" s="139" t="s">
        <v>192</v>
      </c>
      <c r="F123" s="141">
        <v>3143</v>
      </c>
      <c r="G123" s="117" t="s">
        <v>282</v>
      </c>
      <c r="H123" s="157" t="s">
        <v>263</v>
      </c>
      <c r="I123" s="580">
        <v>116430</v>
      </c>
      <c r="J123" s="490">
        <v>86372</v>
      </c>
      <c r="K123" s="490">
        <v>0</v>
      </c>
      <c r="L123" s="55">
        <v>29194</v>
      </c>
      <c r="M123" s="55">
        <v>864</v>
      </c>
      <c r="N123" s="55">
        <v>0</v>
      </c>
      <c r="O123" s="614">
        <v>0.16</v>
      </c>
      <c r="P123" s="440">
        <f t="shared" si="256"/>
        <v>0</v>
      </c>
      <c r="Q123" s="325">
        <v>0</v>
      </c>
      <c r="R123" s="325">
        <v>0</v>
      </c>
      <c r="S123" s="325">
        <v>0</v>
      </c>
      <c r="T123" s="325">
        <v>0</v>
      </c>
      <c r="U123" s="325">
        <v>0</v>
      </c>
      <c r="V123" s="492">
        <f t="shared" si="257"/>
        <v>0</v>
      </c>
      <c r="W123" s="325">
        <v>0</v>
      </c>
      <c r="X123" s="325">
        <v>0</v>
      </c>
      <c r="Y123" s="325">
        <v>0</v>
      </c>
      <c r="Z123" s="492">
        <f t="shared" si="258"/>
        <v>0</v>
      </c>
      <c r="AA123" s="492">
        <f t="shared" si="259"/>
        <v>0</v>
      </c>
      <c r="AB123" s="494">
        <f t="shared" si="260"/>
        <v>0</v>
      </c>
      <c r="AC123" s="494">
        <f t="shared" si="261"/>
        <v>0</v>
      </c>
      <c r="AD123" s="492">
        <v>0</v>
      </c>
      <c r="AE123" s="753">
        <f t="shared" si="262"/>
        <v>0</v>
      </c>
      <c r="AF123" s="688">
        <v>0</v>
      </c>
      <c r="AG123" s="326">
        <v>0</v>
      </c>
      <c r="AH123" s="326">
        <v>0</v>
      </c>
      <c r="AI123" s="326">
        <v>0</v>
      </c>
      <c r="AJ123" s="326">
        <v>0</v>
      </c>
      <c r="AK123" s="326">
        <v>0</v>
      </c>
      <c r="AL123" s="609">
        <f t="shared" si="263"/>
        <v>0</v>
      </c>
      <c r="AM123" s="493">
        <f>I123+AE123</f>
        <v>116430</v>
      </c>
      <c r="AN123" s="492">
        <f>J123+V123</f>
        <v>86372</v>
      </c>
      <c r="AO123" s="573">
        <f t="shared" si="264"/>
        <v>0</v>
      </c>
      <c r="AP123" s="492">
        <f t="shared" si="265"/>
        <v>29194</v>
      </c>
      <c r="AQ123" s="492">
        <f t="shared" si="265"/>
        <v>864</v>
      </c>
      <c r="AR123" s="492">
        <v>0</v>
      </c>
      <c r="AS123" s="491">
        <f t="shared" si="266"/>
        <v>0.16</v>
      </c>
    </row>
    <row r="124" spans="1:45" s="152" customFormat="1" x14ac:dyDescent="0.2">
      <c r="A124" s="107">
        <v>27</v>
      </c>
      <c r="B124" s="15">
        <v>4444</v>
      </c>
      <c r="C124" s="15">
        <v>600074731</v>
      </c>
      <c r="D124" s="15">
        <v>48282979</v>
      </c>
      <c r="E124" s="116" t="s">
        <v>193</v>
      </c>
      <c r="F124" s="15"/>
      <c r="G124" s="106"/>
      <c r="H124" s="555"/>
      <c r="I124" s="758">
        <v>18821501</v>
      </c>
      <c r="J124" s="343">
        <v>13920849</v>
      </c>
      <c r="K124" s="343">
        <v>42000</v>
      </c>
      <c r="L124" s="343">
        <v>4719443</v>
      </c>
      <c r="M124" s="343">
        <v>139209</v>
      </c>
      <c r="N124" s="343">
        <v>0</v>
      </c>
      <c r="O124" s="35">
        <v>22.43</v>
      </c>
      <c r="P124" s="346">
        <f t="shared" ref="P124:AS124" si="267">SUM(P120:P123)</f>
        <v>-28000</v>
      </c>
      <c r="Q124" s="343">
        <f t="shared" si="267"/>
        <v>0</v>
      </c>
      <c r="R124" s="343">
        <f t="shared" si="267"/>
        <v>0</v>
      </c>
      <c r="S124" s="343">
        <f t="shared" si="267"/>
        <v>0</v>
      </c>
      <c r="T124" s="343">
        <f t="shared" si="267"/>
        <v>0</v>
      </c>
      <c r="U124" s="343">
        <f t="shared" si="267"/>
        <v>0</v>
      </c>
      <c r="V124" s="343">
        <f t="shared" si="267"/>
        <v>-28000</v>
      </c>
      <c r="W124" s="343">
        <f t="shared" si="267"/>
        <v>28000</v>
      </c>
      <c r="X124" s="343">
        <f t="shared" si="267"/>
        <v>0</v>
      </c>
      <c r="Y124" s="343">
        <f t="shared" si="267"/>
        <v>0</v>
      </c>
      <c r="Z124" s="343">
        <f t="shared" si="267"/>
        <v>28000</v>
      </c>
      <c r="AA124" s="343">
        <f t="shared" si="267"/>
        <v>0</v>
      </c>
      <c r="AB124" s="343">
        <f t="shared" si="267"/>
        <v>0</v>
      </c>
      <c r="AC124" s="343">
        <f t="shared" si="267"/>
        <v>-280</v>
      </c>
      <c r="AD124" s="343">
        <f t="shared" si="267"/>
        <v>0</v>
      </c>
      <c r="AE124" s="763">
        <f t="shared" si="267"/>
        <v>-280</v>
      </c>
      <c r="AF124" s="767">
        <f t="shared" si="267"/>
        <v>-0.06</v>
      </c>
      <c r="AG124" s="344">
        <f t="shared" si="267"/>
        <v>0</v>
      </c>
      <c r="AH124" s="344">
        <f t="shared" si="267"/>
        <v>0</v>
      </c>
      <c r="AI124" s="344">
        <f t="shared" si="267"/>
        <v>0</v>
      </c>
      <c r="AJ124" s="344">
        <f t="shared" si="267"/>
        <v>0</v>
      </c>
      <c r="AK124" s="344">
        <f t="shared" si="267"/>
        <v>0</v>
      </c>
      <c r="AL124" s="35">
        <f t="shared" si="267"/>
        <v>-0.06</v>
      </c>
      <c r="AM124" s="346">
        <f t="shared" si="267"/>
        <v>18821221</v>
      </c>
      <c r="AN124" s="343">
        <f t="shared" si="267"/>
        <v>13892849</v>
      </c>
      <c r="AO124" s="343">
        <f t="shared" si="267"/>
        <v>70000</v>
      </c>
      <c r="AP124" s="343">
        <f t="shared" si="267"/>
        <v>4719443</v>
      </c>
      <c r="AQ124" s="343">
        <f t="shared" si="267"/>
        <v>138929</v>
      </c>
      <c r="AR124" s="343">
        <f t="shared" si="267"/>
        <v>0</v>
      </c>
      <c r="AS124" s="344">
        <f t="shared" si="267"/>
        <v>22.37</v>
      </c>
    </row>
    <row r="125" spans="1:45" s="152" customFormat="1" ht="12.75" customHeight="1" x14ac:dyDescent="0.2">
      <c r="A125" s="140">
        <v>28</v>
      </c>
      <c r="B125" s="141">
        <v>4445</v>
      </c>
      <c r="C125" s="141">
        <v>600075044</v>
      </c>
      <c r="D125" s="141">
        <v>72742631</v>
      </c>
      <c r="E125" s="139" t="s">
        <v>194</v>
      </c>
      <c r="F125" s="141">
        <v>3111</v>
      </c>
      <c r="G125" s="117" t="s">
        <v>277</v>
      </c>
      <c r="H125" s="560" t="s">
        <v>262</v>
      </c>
      <c r="I125" s="580">
        <v>2967751</v>
      </c>
      <c r="J125" s="490">
        <v>2201596</v>
      </c>
      <c r="K125" s="490">
        <v>0</v>
      </c>
      <c r="L125" s="55">
        <v>744139</v>
      </c>
      <c r="M125" s="55">
        <v>22016</v>
      </c>
      <c r="N125" s="55">
        <v>0</v>
      </c>
      <c r="O125" s="614">
        <v>4</v>
      </c>
      <c r="P125" s="445">
        <f t="shared" ref="P125:P128" si="268">W125*-1</f>
        <v>0</v>
      </c>
      <c r="Q125" s="325">
        <v>0</v>
      </c>
      <c r="R125" s="325">
        <v>0</v>
      </c>
      <c r="S125" s="325">
        <v>0</v>
      </c>
      <c r="T125" s="325">
        <v>0</v>
      </c>
      <c r="U125" s="325">
        <v>0</v>
      </c>
      <c r="V125" s="492">
        <f t="shared" ref="V125:V128" si="269">P125+Q125+R125+S125+T125+U125</f>
        <v>0</v>
      </c>
      <c r="W125" s="325">
        <v>0</v>
      </c>
      <c r="X125" s="325">
        <v>0</v>
      </c>
      <c r="Y125" s="325">
        <v>0</v>
      </c>
      <c r="Z125" s="492">
        <f t="shared" ref="Z125:Z128" si="270">W125+X125+Y125</f>
        <v>0</v>
      </c>
      <c r="AA125" s="492">
        <f t="shared" ref="AA125:AA128" si="271">V125+Z125</f>
        <v>0</v>
      </c>
      <c r="AB125" s="494">
        <f t="shared" ref="AB125:AB128" si="272">ROUND((V125+Z125)*33.8%,0)</f>
        <v>0</v>
      </c>
      <c r="AC125" s="494">
        <f t="shared" ref="AC125:AC128" si="273">ROUND(V125*1%,0)</f>
        <v>0</v>
      </c>
      <c r="AD125" s="492">
        <v>0</v>
      </c>
      <c r="AE125" s="753">
        <f t="shared" ref="AE125:AE128" si="274">AA125+AB125+AC125+AD125</f>
        <v>0</v>
      </c>
      <c r="AF125" s="688">
        <v>0</v>
      </c>
      <c r="AG125" s="326">
        <v>0</v>
      </c>
      <c r="AH125" s="326">
        <v>0</v>
      </c>
      <c r="AI125" s="326">
        <v>0</v>
      </c>
      <c r="AJ125" s="326">
        <v>0</v>
      </c>
      <c r="AK125" s="326">
        <v>0</v>
      </c>
      <c r="AL125" s="609">
        <f t="shared" ref="AL125:AL128" si="275">SUM(AF125:AK125)</f>
        <v>0</v>
      </c>
      <c r="AM125" s="493">
        <f>I125+AE125</f>
        <v>2967751</v>
      </c>
      <c r="AN125" s="492">
        <f>J125+V125</f>
        <v>2201596</v>
      </c>
      <c r="AO125" s="573">
        <f t="shared" ref="AO125:AO128" si="276">K125+Z125</f>
        <v>0</v>
      </c>
      <c r="AP125" s="492">
        <f t="shared" ref="AP125:AQ128" si="277">L125+AB125</f>
        <v>744139</v>
      </c>
      <c r="AQ125" s="492">
        <f t="shared" si="277"/>
        <v>22016</v>
      </c>
      <c r="AR125" s="492">
        <v>0</v>
      </c>
      <c r="AS125" s="491">
        <f t="shared" ref="AS125:AS128" si="278">O125+AL125</f>
        <v>4</v>
      </c>
    </row>
    <row r="126" spans="1:45" s="152" customFormat="1" ht="12.75" customHeight="1" x14ac:dyDescent="0.2">
      <c r="A126" s="140">
        <v>28</v>
      </c>
      <c r="B126" s="141">
        <v>4445</v>
      </c>
      <c r="C126" s="141">
        <v>600075044</v>
      </c>
      <c r="D126" s="141">
        <v>72742631</v>
      </c>
      <c r="E126" s="139" t="s">
        <v>194</v>
      </c>
      <c r="F126" s="141">
        <v>3117</v>
      </c>
      <c r="G126" s="117" t="s">
        <v>280</v>
      </c>
      <c r="H126" s="560" t="s">
        <v>262</v>
      </c>
      <c r="I126" s="580">
        <v>4053669</v>
      </c>
      <c r="J126" s="490">
        <v>3007173</v>
      </c>
      <c r="K126" s="490">
        <v>0</v>
      </c>
      <c r="L126" s="55">
        <v>1016425</v>
      </c>
      <c r="M126" s="55">
        <v>30071</v>
      </c>
      <c r="N126" s="55">
        <v>0</v>
      </c>
      <c r="O126" s="614">
        <v>4.54</v>
      </c>
      <c r="P126" s="440">
        <f t="shared" si="268"/>
        <v>0</v>
      </c>
      <c r="Q126" s="325">
        <v>0</v>
      </c>
      <c r="R126" s="325">
        <v>0</v>
      </c>
      <c r="S126" s="325">
        <v>0</v>
      </c>
      <c r="T126" s="325">
        <v>0</v>
      </c>
      <c r="U126" s="325">
        <v>0</v>
      </c>
      <c r="V126" s="492">
        <f t="shared" si="269"/>
        <v>0</v>
      </c>
      <c r="W126" s="325">
        <v>0</v>
      </c>
      <c r="X126" s="325">
        <v>0</v>
      </c>
      <c r="Y126" s="325">
        <v>0</v>
      </c>
      <c r="Z126" s="492">
        <f t="shared" si="270"/>
        <v>0</v>
      </c>
      <c r="AA126" s="492">
        <f t="shared" si="271"/>
        <v>0</v>
      </c>
      <c r="AB126" s="494">
        <f t="shared" si="272"/>
        <v>0</v>
      </c>
      <c r="AC126" s="494">
        <f t="shared" si="273"/>
        <v>0</v>
      </c>
      <c r="AD126" s="492">
        <v>0</v>
      </c>
      <c r="AE126" s="753">
        <f t="shared" si="274"/>
        <v>0</v>
      </c>
      <c r="AF126" s="688">
        <v>0</v>
      </c>
      <c r="AG126" s="326">
        <v>0</v>
      </c>
      <c r="AH126" s="326">
        <v>0</v>
      </c>
      <c r="AI126" s="326">
        <v>0</v>
      </c>
      <c r="AJ126" s="326">
        <v>0</v>
      </c>
      <c r="AK126" s="326">
        <v>0</v>
      </c>
      <c r="AL126" s="609">
        <f t="shared" si="275"/>
        <v>0</v>
      </c>
      <c r="AM126" s="493">
        <f>I126+AE126</f>
        <v>4053669</v>
      </c>
      <c r="AN126" s="492">
        <f>J126+V126</f>
        <v>3007173</v>
      </c>
      <c r="AO126" s="573">
        <f t="shared" si="276"/>
        <v>0</v>
      </c>
      <c r="AP126" s="492">
        <f t="shared" si="277"/>
        <v>1016425</v>
      </c>
      <c r="AQ126" s="492">
        <f t="shared" si="277"/>
        <v>30071</v>
      </c>
      <c r="AR126" s="492">
        <v>0</v>
      </c>
      <c r="AS126" s="491">
        <f t="shared" si="278"/>
        <v>4.54</v>
      </c>
    </row>
    <row r="127" spans="1:45" s="152" customFormat="1" ht="12.75" customHeight="1" x14ac:dyDescent="0.2">
      <c r="A127" s="140">
        <v>28</v>
      </c>
      <c r="B127" s="141">
        <v>4445</v>
      </c>
      <c r="C127" s="141">
        <v>600075044</v>
      </c>
      <c r="D127" s="141">
        <v>72742631</v>
      </c>
      <c r="E127" s="139" t="s">
        <v>194</v>
      </c>
      <c r="F127" s="141">
        <v>3117</v>
      </c>
      <c r="G127" s="117" t="s">
        <v>278</v>
      </c>
      <c r="H127" s="560" t="s">
        <v>263</v>
      </c>
      <c r="I127" s="580">
        <v>1105610</v>
      </c>
      <c r="J127" s="490">
        <v>820185</v>
      </c>
      <c r="K127" s="490">
        <v>0</v>
      </c>
      <c r="L127" s="55">
        <v>277223</v>
      </c>
      <c r="M127" s="55">
        <v>8202</v>
      </c>
      <c r="N127" s="55">
        <v>0</v>
      </c>
      <c r="O127" s="614">
        <v>2.0499999999999998</v>
      </c>
      <c r="P127" s="440">
        <f t="shared" si="268"/>
        <v>0</v>
      </c>
      <c r="Q127" s="325">
        <v>0</v>
      </c>
      <c r="R127" s="325">
        <v>0</v>
      </c>
      <c r="S127" s="325">
        <v>0</v>
      </c>
      <c r="T127" s="325">
        <v>0</v>
      </c>
      <c r="U127" s="325">
        <v>0</v>
      </c>
      <c r="V127" s="492">
        <f t="shared" si="269"/>
        <v>0</v>
      </c>
      <c r="W127" s="325">
        <v>0</v>
      </c>
      <c r="X127" s="325">
        <v>0</v>
      </c>
      <c r="Y127" s="325">
        <v>0</v>
      </c>
      <c r="Z127" s="492">
        <f t="shared" si="270"/>
        <v>0</v>
      </c>
      <c r="AA127" s="492">
        <f t="shared" si="271"/>
        <v>0</v>
      </c>
      <c r="AB127" s="494">
        <f t="shared" si="272"/>
        <v>0</v>
      </c>
      <c r="AC127" s="494">
        <f t="shared" si="273"/>
        <v>0</v>
      </c>
      <c r="AD127" s="492">
        <v>0</v>
      </c>
      <c r="AE127" s="753">
        <f t="shared" si="274"/>
        <v>0</v>
      </c>
      <c r="AF127" s="688">
        <v>0</v>
      </c>
      <c r="AG127" s="326">
        <v>0</v>
      </c>
      <c r="AH127" s="326">
        <v>0</v>
      </c>
      <c r="AI127" s="326">
        <v>0</v>
      </c>
      <c r="AJ127" s="326">
        <v>0</v>
      </c>
      <c r="AK127" s="326">
        <v>0</v>
      </c>
      <c r="AL127" s="609">
        <f t="shared" si="275"/>
        <v>0</v>
      </c>
      <c r="AM127" s="493">
        <f>I127+AE127</f>
        <v>1105610</v>
      </c>
      <c r="AN127" s="492">
        <f>J127+V127</f>
        <v>820185</v>
      </c>
      <c r="AO127" s="573">
        <f t="shared" si="276"/>
        <v>0</v>
      </c>
      <c r="AP127" s="492">
        <f t="shared" si="277"/>
        <v>277223</v>
      </c>
      <c r="AQ127" s="492">
        <f t="shared" si="277"/>
        <v>8202</v>
      </c>
      <c r="AR127" s="492">
        <v>0</v>
      </c>
      <c r="AS127" s="491">
        <f t="shared" si="278"/>
        <v>2.0499999999999998</v>
      </c>
    </row>
    <row r="128" spans="1:45" s="152" customFormat="1" ht="12.75" customHeight="1" x14ac:dyDescent="0.2">
      <c r="A128" s="140">
        <v>28</v>
      </c>
      <c r="B128" s="141">
        <v>4445</v>
      </c>
      <c r="C128" s="141">
        <v>600075044</v>
      </c>
      <c r="D128" s="141">
        <v>72742631</v>
      </c>
      <c r="E128" s="135" t="s">
        <v>194</v>
      </c>
      <c r="F128" s="141">
        <v>3143</v>
      </c>
      <c r="G128" s="117" t="s">
        <v>794</v>
      </c>
      <c r="H128" s="157" t="s">
        <v>262</v>
      </c>
      <c r="I128" s="580">
        <v>741229</v>
      </c>
      <c r="J128" s="490">
        <v>549873</v>
      </c>
      <c r="K128" s="490">
        <v>0</v>
      </c>
      <c r="L128" s="55">
        <v>185857</v>
      </c>
      <c r="M128" s="55">
        <v>5499</v>
      </c>
      <c r="N128" s="55">
        <v>0</v>
      </c>
      <c r="O128" s="614">
        <v>1.25</v>
      </c>
      <c r="P128" s="440">
        <f t="shared" si="268"/>
        <v>0</v>
      </c>
      <c r="Q128" s="325">
        <v>0</v>
      </c>
      <c r="R128" s="325">
        <v>0</v>
      </c>
      <c r="S128" s="325">
        <v>0</v>
      </c>
      <c r="T128" s="325">
        <v>0</v>
      </c>
      <c r="U128" s="325">
        <v>0</v>
      </c>
      <c r="V128" s="492">
        <f t="shared" si="269"/>
        <v>0</v>
      </c>
      <c r="W128" s="325">
        <v>0</v>
      </c>
      <c r="X128" s="325">
        <v>0</v>
      </c>
      <c r="Y128" s="325">
        <v>0</v>
      </c>
      <c r="Z128" s="492">
        <f t="shared" si="270"/>
        <v>0</v>
      </c>
      <c r="AA128" s="492">
        <f t="shared" si="271"/>
        <v>0</v>
      </c>
      <c r="AB128" s="494">
        <f t="shared" si="272"/>
        <v>0</v>
      </c>
      <c r="AC128" s="494">
        <f t="shared" si="273"/>
        <v>0</v>
      </c>
      <c r="AD128" s="492">
        <v>0</v>
      </c>
      <c r="AE128" s="753">
        <f t="shared" si="274"/>
        <v>0</v>
      </c>
      <c r="AF128" s="688">
        <v>0</v>
      </c>
      <c r="AG128" s="326">
        <v>0</v>
      </c>
      <c r="AH128" s="326">
        <v>0</v>
      </c>
      <c r="AI128" s="326">
        <v>0</v>
      </c>
      <c r="AJ128" s="326">
        <v>0</v>
      </c>
      <c r="AK128" s="326">
        <v>0</v>
      </c>
      <c r="AL128" s="609">
        <f t="shared" si="275"/>
        <v>0</v>
      </c>
      <c r="AM128" s="493">
        <f>I128+AE128</f>
        <v>741229</v>
      </c>
      <c r="AN128" s="492">
        <f>J128+V128</f>
        <v>549873</v>
      </c>
      <c r="AO128" s="573">
        <f t="shared" si="276"/>
        <v>0</v>
      </c>
      <c r="AP128" s="492">
        <f t="shared" si="277"/>
        <v>185857</v>
      </c>
      <c r="AQ128" s="492">
        <f t="shared" si="277"/>
        <v>5499</v>
      </c>
      <c r="AR128" s="492">
        <v>0</v>
      </c>
      <c r="AS128" s="491">
        <f t="shared" si="278"/>
        <v>1.25</v>
      </c>
    </row>
    <row r="129" spans="1:45" s="152" customFormat="1" ht="12.75" customHeight="1" x14ac:dyDescent="0.2">
      <c r="A129" s="107">
        <v>28</v>
      </c>
      <c r="B129" s="15">
        <v>4445</v>
      </c>
      <c r="C129" s="15">
        <v>600075044</v>
      </c>
      <c r="D129" s="15">
        <v>72742631</v>
      </c>
      <c r="E129" s="116" t="s">
        <v>195</v>
      </c>
      <c r="F129" s="15"/>
      <c r="G129" s="106"/>
      <c r="H129" s="555"/>
      <c r="I129" s="758">
        <v>8868259</v>
      </c>
      <c r="J129" s="343">
        <v>6578827</v>
      </c>
      <c r="K129" s="343">
        <v>0</v>
      </c>
      <c r="L129" s="343">
        <v>2223644</v>
      </c>
      <c r="M129" s="343">
        <v>65788</v>
      </c>
      <c r="N129" s="343">
        <v>0</v>
      </c>
      <c r="O129" s="35">
        <v>11.84</v>
      </c>
      <c r="P129" s="346">
        <f t="shared" ref="P129:AS129" si="279">SUM(P125:P128)</f>
        <v>0</v>
      </c>
      <c r="Q129" s="343">
        <f t="shared" si="279"/>
        <v>0</v>
      </c>
      <c r="R129" s="343">
        <f t="shared" si="279"/>
        <v>0</v>
      </c>
      <c r="S129" s="343">
        <f t="shared" si="279"/>
        <v>0</v>
      </c>
      <c r="T129" s="343">
        <f t="shared" si="279"/>
        <v>0</v>
      </c>
      <c r="U129" s="343">
        <f t="shared" si="279"/>
        <v>0</v>
      </c>
      <c r="V129" s="343">
        <f t="shared" si="279"/>
        <v>0</v>
      </c>
      <c r="W129" s="343">
        <f t="shared" si="279"/>
        <v>0</v>
      </c>
      <c r="X129" s="343">
        <f t="shared" si="279"/>
        <v>0</v>
      </c>
      <c r="Y129" s="343">
        <f t="shared" si="279"/>
        <v>0</v>
      </c>
      <c r="Z129" s="343">
        <f t="shared" si="279"/>
        <v>0</v>
      </c>
      <c r="AA129" s="343">
        <f t="shared" si="279"/>
        <v>0</v>
      </c>
      <c r="AB129" s="343">
        <f t="shared" si="279"/>
        <v>0</v>
      </c>
      <c r="AC129" s="343">
        <f t="shared" si="279"/>
        <v>0</v>
      </c>
      <c r="AD129" s="343">
        <f t="shared" si="279"/>
        <v>0</v>
      </c>
      <c r="AE129" s="763">
        <f t="shared" si="279"/>
        <v>0</v>
      </c>
      <c r="AF129" s="767">
        <f t="shared" si="279"/>
        <v>0</v>
      </c>
      <c r="AG129" s="344">
        <f t="shared" si="279"/>
        <v>0</v>
      </c>
      <c r="AH129" s="344">
        <f t="shared" si="279"/>
        <v>0</v>
      </c>
      <c r="AI129" s="344">
        <f t="shared" si="279"/>
        <v>0</v>
      </c>
      <c r="AJ129" s="344">
        <f t="shared" si="279"/>
        <v>0</v>
      </c>
      <c r="AK129" s="344">
        <f t="shared" si="279"/>
        <v>0</v>
      </c>
      <c r="AL129" s="35">
        <f t="shared" si="279"/>
        <v>0</v>
      </c>
      <c r="AM129" s="346">
        <f t="shared" si="279"/>
        <v>8868259</v>
      </c>
      <c r="AN129" s="343">
        <f t="shared" si="279"/>
        <v>6578827</v>
      </c>
      <c r="AO129" s="343">
        <f t="shared" si="279"/>
        <v>0</v>
      </c>
      <c r="AP129" s="343">
        <f t="shared" si="279"/>
        <v>2223644</v>
      </c>
      <c r="AQ129" s="343">
        <f t="shared" si="279"/>
        <v>65788</v>
      </c>
      <c r="AR129" s="343">
        <f t="shared" si="279"/>
        <v>0</v>
      </c>
      <c r="AS129" s="344">
        <f t="shared" si="279"/>
        <v>11.84</v>
      </c>
    </row>
    <row r="130" spans="1:45" s="152" customFormat="1" ht="12.75" customHeight="1" x14ac:dyDescent="0.2">
      <c r="A130" s="140">
        <v>29</v>
      </c>
      <c r="B130" s="141">
        <v>4446</v>
      </c>
      <c r="C130" s="141">
        <v>600074587</v>
      </c>
      <c r="D130" s="141">
        <v>70695504</v>
      </c>
      <c r="E130" s="139" t="s">
        <v>761</v>
      </c>
      <c r="F130" s="141">
        <v>3111</v>
      </c>
      <c r="G130" s="117" t="s">
        <v>277</v>
      </c>
      <c r="H130" s="560" t="s">
        <v>262</v>
      </c>
      <c r="I130" s="580">
        <v>1634630</v>
      </c>
      <c r="J130" s="490">
        <v>1212634</v>
      </c>
      <c r="K130" s="490">
        <v>0</v>
      </c>
      <c r="L130" s="55">
        <v>409870</v>
      </c>
      <c r="M130" s="55">
        <v>12126</v>
      </c>
      <c r="N130" s="55">
        <v>0</v>
      </c>
      <c r="O130" s="614">
        <v>2.02</v>
      </c>
      <c r="P130" s="445">
        <f t="shared" ref="P130:P133" si="280">W130*-1</f>
        <v>0</v>
      </c>
      <c r="Q130" s="325">
        <v>0</v>
      </c>
      <c r="R130" s="325">
        <v>0</v>
      </c>
      <c r="S130" s="325">
        <v>0</v>
      </c>
      <c r="T130" s="325">
        <v>0</v>
      </c>
      <c r="U130" s="325">
        <v>0</v>
      </c>
      <c r="V130" s="492">
        <f t="shared" ref="V130:V133" si="281">P130+Q130+R130+S130+T130+U130</f>
        <v>0</v>
      </c>
      <c r="W130" s="325">
        <v>0</v>
      </c>
      <c r="X130" s="325">
        <v>0</v>
      </c>
      <c r="Y130" s="325">
        <v>0</v>
      </c>
      <c r="Z130" s="492">
        <f t="shared" ref="Z130:Z133" si="282">W130+X130+Y130</f>
        <v>0</v>
      </c>
      <c r="AA130" s="492">
        <f t="shared" ref="AA130:AA133" si="283">V130+Z130</f>
        <v>0</v>
      </c>
      <c r="AB130" s="494">
        <f t="shared" ref="AB130:AB133" si="284">ROUND((V130+Z130)*33.8%,0)</f>
        <v>0</v>
      </c>
      <c r="AC130" s="494">
        <f t="shared" ref="AC130:AC133" si="285">ROUND(V130*1%,0)</f>
        <v>0</v>
      </c>
      <c r="AD130" s="492">
        <v>0</v>
      </c>
      <c r="AE130" s="753">
        <f t="shared" ref="AE130:AE133" si="286">AA130+AB130+AC130+AD130</f>
        <v>0</v>
      </c>
      <c r="AF130" s="688">
        <v>0</v>
      </c>
      <c r="AG130" s="326">
        <v>0</v>
      </c>
      <c r="AH130" s="326">
        <v>0</v>
      </c>
      <c r="AI130" s="326">
        <v>0</v>
      </c>
      <c r="AJ130" s="326">
        <v>0</v>
      </c>
      <c r="AK130" s="326">
        <v>0</v>
      </c>
      <c r="AL130" s="609">
        <f t="shared" ref="AL130:AL133" si="287">SUM(AF130:AK130)</f>
        <v>0</v>
      </c>
      <c r="AM130" s="493">
        <f>I130+AE130</f>
        <v>1634630</v>
      </c>
      <c r="AN130" s="492">
        <f>J130+V130</f>
        <v>1212634</v>
      </c>
      <c r="AO130" s="573">
        <f t="shared" ref="AO130:AO133" si="288">K130+Z130</f>
        <v>0</v>
      </c>
      <c r="AP130" s="492">
        <f t="shared" ref="AP130:AQ133" si="289">L130+AB130</f>
        <v>409870</v>
      </c>
      <c r="AQ130" s="492">
        <f t="shared" si="289"/>
        <v>12126</v>
      </c>
      <c r="AR130" s="492">
        <v>0</v>
      </c>
      <c r="AS130" s="491">
        <f t="shared" ref="AS130:AS133" si="290">O130+AL130</f>
        <v>2.02</v>
      </c>
    </row>
    <row r="131" spans="1:45" s="152" customFormat="1" ht="12.75" customHeight="1" x14ac:dyDescent="0.2">
      <c r="A131" s="140">
        <v>29</v>
      </c>
      <c r="B131" s="141">
        <v>4446</v>
      </c>
      <c r="C131" s="141">
        <v>600074587</v>
      </c>
      <c r="D131" s="141">
        <v>70695504</v>
      </c>
      <c r="E131" s="139" t="s">
        <v>761</v>
      </c>
      <c r="F131" s="141">
        <v>3117</v>
      </c>
      <c r="G131" s="117" t="s">
        <v>280</v>
      </c>
      <c r="H131" s="560" t="s">
        <v>262</v>
      </c>
      <c r="I131" s="580">
        <v>2464626</v>
      </c>
      <c r="J131" s="490">
        <v>1828357</v>
      </c>
      <c r="K131" s="490">
        <v>0</v>
      </c>
      <c r="L131" s="55">
        <v>617985</v>
      </c>
      <c r="M131" s="55">
        <v>18284</v>
      </c>
      <c r="N131" s="55">
        <v>0</v>
      </c>
      <c r="O131" s="614">
        <v>2.83</v>
      </c>
      <c r="P131" s="440">
        <f t="shared" si="280"/>
        <v>0</v>
      </c>
      <c r="Q131" s="325">
        <v>0</v>
      </c>
      <c r="R131" s="325">
        <v>0</v>
      </c>
      <c r="S131" s="325">
        <v>0</v>
      </c>
      <c r="T131" s="325">
        <v>0</v>
      </c>
      <c r="U131" s="325">
        <v>0</v>
      </c>
      <c r="V131" s="492">
        <f t="shared" si="281"/>
        <v>0</v>
      </c>
      <c r="W131" s="325">
        <v>0</v>
      </c>
      <c r="X131" s="325">
        <v>0</v>
      </c>
      <c r="Y131" s="325">
        <v>0</v>
      </c>
      <c r="Z131" s="492">
        <f t="shared" si="282"/>
        <v>0</v>
      </c>
      <c r="AA131" s="492">
        <f t="shared" si="283"/>
        <v>0</v>
      </c>
      <c r="AB131" s="494">
        <f t="shared" si="284"/>
        <v>0</v>
      </c>
      <c r="AC131" s="494">
        <f t="shared" si="285"/>
        <v>0</v>
      </c>
      <c r="AD131" s="492">
        <v>0</v>
      </c>
      <c r="AE131" s="753">
        <f t="shared" si="286"/>
        <v>0</v>
      </c>
      <c r="AF131" s="688">
        <v>0</v>
      </c>
      <c r="AG131" s="326">
        <v>0</v>
      </c>
      <c r="AH131" s="326">
        <v>0</v>
      </c>
      <c r="AI131" s="326">
        <v>0</v>
      </c>
      <c r="AJ131" s="326">
        <v>0</v>
      </c>
      <c r="AK131" s="326">
        <v>0</v>
      </c>
      <c r="AL131" s="609">
        <f t="shared" si="287"/>
        <v>0</v>
      </c>
      <c r="AM131" s="493">
        <f>I131+AE131</f>
        <v>2464626</v>
      </c>
      <c r="AN131" s="492">
        <f>J131+V131</f>
        <v>1828357</v>
      </c>
      <c r="AO131" s="573">
        <f t="shared" si="288"/>
        <v>0</v>
      </c>
      <c r="AP131" s="492">
        <f t="shared" si="289"/>
        <v>617985</v>
      </c>
      <c r="AQ131" s="492">
        <f t="shared" si="289"/>
        <v>18284</v>
      </c>
      <c r="AR131" s="492">
        <v>0</v>
      </c>
      <c r="AS131" s="491">
        <f t="shared" si="290"/>
        <v>2.83</v>
      </c>
    </row>
    <row r="132" spans="1:45" s="152" customFormat="1" ht="12.75" customHeight="1" x14ac:dyDescent="0.2">
      <c r="A132" s="140">
        <v>29</v>
      </c>
      <c r="B132" s="141">
        <v>4446</v>
      </c>
      <c r="C132" s="141">
        <v>600074587</v>
      </c>
      <c r="D132" s="141">
        <v>70695504</v>
      </c>
      <c r="E132" s="139" t="s">
        <v>761</v>
      </c>
      <c r="F132" s="141">
        <v>3117</v>
      </c>
      <c r="G132" s="117" t="s">
        <v>278</v>
      </c>
      <c r="H132" s="560" t="s">
        <v>263</v>
      </c>
      <c r="I132" s="580">
        <v>534949</v>
      </c>
      <c r="J132" s="490">
        <v>396847</v>
      </c>
      <c r="K132" s="490">
        <v>0</v>
      </c>
      <c r="L132" s="55">
        <v>134134</v>
      </c>
      <c r="M132" s="55">
        <v>3968</v>
      </c>
      <c r="N132" s="55">
        <v>0</v>
      </c>
      <c r="O132" s="614">
        <v>1</v>
      </c>
      <c r="P132" s="440">
        <f t="shared" si="280"/>
        <v>0</v>
      </c>
      <c r="Q132" s="325">
        <v>0</v>
      </c>
      <c r="R132" s="325">
        <v>0</v>
      </c>
      <c r="S132" s="325">
        <v>0</v>
      </c>
      <c r="T132" s="325">
        <v>0</v>
      </c>
      <c r="U132" s="325">
        <v>0</v>
      </c>
      <c r="V132" s="492">
        <f t="shared" si="281"/>
        <v>0</v>
      </c>
      <c r="W132" s="325">
        <v>0</v>
      </c>
      <c r="X132" s="325">
        <v>0</v>
      </c>
      <c r="Y132" s="325">
        <v>0</v>
      </c>
      <c r="Z132" s="492">
        <f t="shared" si="282"/>
        <v>0</v>
      </c>
      <c r="AA132" s="492">
        <f t="shared" si="283"/>
        <v>0</v>
      </c>
      <c r="AB132" s="494">
        <f t="shared" si="284"/>
        <v>0</v>
      </c>
      <c r="AC132" s="494">
        <f t="shared" si="285"/>
        <v>0</v>
      </c>
      <c r="AD132" s="492">
        <v>0</v>
      </c>
      <c r="AE132" s="753">
        <f t="shared" si="286"/>
        <v>0</v>
      </c>
      <c r="AF132" s="688">
        <v>0</v>
      </c>
      <c r="AG132" s="326">
        <v>0</v>
      </c>
      <c r="AH132" s="326">
        <v>0</v>
      </c>
      <c r="AI132" s="326">
        <v>0</v>
      </c>
      <c r="AJ132" s="326">
        <v>0</v>
      </c>
      <c r="AK132" s="326">
        <v>0</v>
      </c>
      <c r="AL132" s="609">
        <f t="shared" si="287"/>
        <v>0</v>
      </c>
      <c r="AM132" s="493">
        <f>I132+AE132</f>
        <v>534949</v>
      </c>
      <c r="AN132" s="492">
        <f>J132+V132</f>
        <v>396847</v>
      </c>
      <c r="AO132" s="573">
        <f t="shared" si="288"/>
        <v>0</v>
      </c>
      <c r="AP132" s="492">
        <f t="shared" si="289"/>
        <v>134134</v>
      </c>
      <c r="AQ132" s="492">
        <f t="shared" si="289"/>
        <v>3968</v>
      </c>
      <c r="AR132" s="492">
        <v>0</v>
      </c>
      <c r="AS132" s="491">
        <f t="shared" si="290"/>
        <v>1</v>
      </c>
    </row>
    <row r="133" spans="1:45" s="152" customFormat="1" ht="12.75" customHeight="1" x14ac:dyDescent="0.2">
      <c r="A133" s="140">
        <v>29</v>
      </c>
      <c r="B133" s="141">
        <v>4446</v>
      </c>
      <c r="C133" s="141">
        <v>600074587</v>
      </c>
      <c r="D133" s="141">
        <v>70695504</v>
      </c>
      <c r="E133" s="139" t="s">
        <v>761</v>
      </c>
      <c r="F133" s="141">
        <v>3143</v>
      </c>
      <c r="G133" s="117" t="s">
        <v>794</v>
      </c>
      <c r="H133" s="157" t="s">
        <v>262</v>
      </c>
      <c r="I133" s="580">
        <v>619352</v>
      </c>
      <c r="J133" s="490">
        <v>459460</v>
      </c>
      <c r="K133" s="490">
        <v>0</v>
      </c>
      <c r="L133" s="55">
        <v>155297</v>
      </c>
      <c r="M133" s="55">
        <v>4595</v>
      </c>
      <c r="N133" s="55">
        <v>0</v>
      </c>
      <c r="O133" s="614">
        <v>0.95</v>
      </c>
      <c r="P133" s="440">
        <f t="shared" si="280"/>
        <v>0</v>
      </c>
      <c r="Q133" s="325">
        <v>0</v>
      </c>
      <c r="R133" s="325">
        <v>0</v>
      </c>
      <c r="S133" s="325">
        <v>0</v>
      </c>
      <c r="T133" s="325">
        <v>0</v>
      </c>
      <c r="U133" s="325">
        <v>0</v>
      </c>
      <c r="V133" s="492">
        <f t="shared" si="281"/>
        <v>0</v>
      </c>
      <c r="W133" s="325">
        <v>0</v>
      </c>
      <c r="X133" s="325">
        <v>0</v>
      </c>
      <c r="Y133" s="325">
        <v>0</v>
      </c>
      <c r="Z133" s="492">
        <f t="shared" si="282"/>
        <v>0</v>
      </c>
      <c r="AA133" s="492">
        <f t="shared" si="283"/>
        <v>0</v>
      </c>
      <c r="AB133" s="494">
        <f t="shared" si="284"/>
        <v>0</v>
      </c>
      <c r="AC133" s="494">
        <f t="shared" si="285"/>
        <v>0</v>
      </c>
      <c r="AD133" s="492">
        <v>0</v>
      </c>
      <c r="AE133" s="753">
        <f t="shared" si="286"/>
        <v>0</v>
      </c>
      <c r="AF133" s="688">
        <v>0</v>
      </c>
      <c r="AG133" s="326">
        <v>0</v>
      </c>
      <c r="AH133" s="326">
        <v>0</v>
      </c>
      <c r="AI133" s="326">
        <v>0</v>
      </c>
      <c r="AJ133" s="326">
        <v>0</v>
      </c>
      <c r="AK133" s="326">
        <v>0</v>
      </c>
      <c r="AL133" s="609">
        <f t="shared" si="287"/>
        <v>0</v>
      </c>
      <c r="AM133" s="493">
        <f>I133+AE133</f>
        <v>619352</v>
      </c>
      <c r="AN133" s="492">
        <f>J133+V133</f>
        <v>459460</v>
      </c>
      <c r="AO133" s="573">
        <f t="shared" si="288"/>
        <v>0</v>
      </c>
      <c r="AP133" s="492">
        <f t="shared" si="289"/>
        <v>155297</v>
      </c>
      <c r="AQ133" s="492">
        <f t="shared" si="289"/>
        <v>4595</v>
      </c>
      <c r="AR133" s="492">
        <v>0</v>
      </c>
      <c r="AS133" s="491">
        <f t="shared" si="290"/>
        <v>0.95</v>
      </c>
    </row>
    <row r="134" spans="1:45" s="152" customFormat="1" ht="12.75" customHeight="1" x14ac:dyDescent="0.2">
      <c r="A134" s="107">
        <v>29</v>
      </c>
      <c r="B134" s="15">
        <v>4446</v>
      </c>
      <c r="C134" s="15">
        <v>600074587</v>
      </c>
      <c r="D134" s="15">
        <v>70695504</v>
      </c>
      <c r="E134" s="116" t="s">
        <v>196</v>
      </c>
      <c r="F134" s="15"/>
      <c r="G134" s="106"/>
      <c r="H134" s="555"/>
      <c r="I134" s="758">
        <v>5253557</v>
      </c>
      <c r="J134" s="343">
        <v>3897298</v>
      </c>
      <c r="K134" s="343">
        <v>0</v>
      </c>
      <c r="L134" s="343">
        <v>1317286</v>
      </c>
      <c r="M134" s="343">
        <v>38973</v>
      </c>
      <c r="N134" s="343">
        <v>0</v>
      </c>
      <c r="O134" s="35">
        <v>6.8</v>
      </c>
      <c r="P134" s="346">
        <f t="shared" ref="P134:AS134" si="291">SUM(P130:P133)</f>
        <v>0</v>
      </c>
      <c r="Q134" s="343">
        <f t="shared" si="291"/>
        <v>0</v>
      </c>
      <c r="R134" s="343">
        <f t="shared" si="291"/>
        <v>0</v>
      </c>
      <c r="S134" s="343">
        <f t="shared" si="291"/>
        <v>0</v>
      </c>
      <c r="T134" s="343">
        <f t="shared" si="291"/>
        <v>0</v>
      </c>
      <c r="U134" s="343">
        <f t="shared" si="291"/>
        <v>0</v>
      </c>
      <c r="V134" s="343">
        <f t="shared" si="291"/>
        <v>0</v>
      </c>
      <c r="W134" s="343">
        <f t="shared" si="291"/>
        <v>0</v>
      </c>
      <c r="X134" s="343">
        <f t="shared" si="291"/>
        <v>0</v>
      </c>
      <c r="Y134" s="343">
        <f t="shared" si="291"/>
        <v>0</v>
      </c>
      <c r="Z134" s="343">
        <f t="shared" si="291"/>
        <v>0</v>
      </c>
      <c r="AA134" s="343">
        <f t="shared" si="291"/>
        <v>0</v>
      </c>
      <c r="AB134" s="343">
        <f t="shared" si="291"/>
        <v>0</v>
      </c>
      <c r="AC134" s="343">
        <f t="shared" si="291"/>
        <v>0</v>
      </c>
      <c r="AD134" s="343">
        <f t="shared" si="291"/>
        <v>0</v>
      </c>
      <c r="AE134" s="763">
        <f t="shared" si="291"/>
        <v>0</v>
      </c>
      <c r="AF134" s="767">
        <f t="shared" si="291"/>
        <v>0</v>
      </c>
      <c r="AG134" s="344">
        <f t="shared" si="291"/>
        <v>0</v>
      </c>
      <c r="AH134" s="344">
        <f t="shared" si="291"/>
        <v>0</v>
      </c>
      <c r="AI134" s="344">
        <f t="shared" si="291"/>
        <v>0</v>
      </c>
      <c r="AJ134" s="344">
        <f t="shared" si="291"/>
        <v>0</v>
      </c>
      <c r="AK134" s="344">
        <f t="shared" si="291"/>
        <v>0</v>
      </c>
      <c r="AL134" s="35">
        <f t="shared" si="291"/>
        <v>0</v>
      </c>
      <c r="AM134" s="346">
        <f t="shared" si="291"/>
        <v>5253557</v>
      </c>
      <c r="AN134" s="343">
        <f t="shared" si="291"/>
        <v>3897298</v>
      </c>
      <c r="AO134" s="343">
        <f t="shared" si="291"/>
        <v>0</v>
      </c>
      <c r="AP134" s="343">
        <f t="shared" si="291"/>
        <v>1317286</v>
      </c>
      <c r="AQ134" s="343">
        <f t="shared" si="291"/>
        <v>38973</v>
      </c>
      <c r="AR134" s="343">
        <f t="shared" si="291"/>
        <v>0</v>
      </c>
      <c r="AS134" s="344">
        <f t="shared" si="291"/>
        <v>6.8</v>
      </c>
    </row>
    <row r="135" spans="1:45" s="152" customFormat="1" ht="12.75" customHeight="1" x14ac:dyDescent="0.2">
      <c r="A135" s="140">
        <v>30</v>
      </c>
      <c r="B135" s="141">
        <v>4431</v>
      </c>
      <c r="C135" s="141">
        <v>600074820</v>
      </c>
      <c r="D135" s="141">
        <v>70981515</v>
      </c>
      <c r="E135" s="139" t="s">
        <v>197</v>
      </c>
      <c r="F135" s="141">
        <v>3111</v>
      </c>
      <c r="G135" s="117" t="s">
        <v>277</v>
      </c>
      <c r="H135" s="560" t="s">
        <v>262</v>
      </c>
      <c r="I135" s="580">
        <v>3176378</v>
      </c>
      <c r="J135" s="490">
        <v>2350408</v>
      </c>
      <c r="K135" s="490">
        <v>6000</v>
      </c>
      <c r="L135" s="55">
        <v>796466</v>
      </c>
      <c r="M135" s="55">
        <v>23504</v>
      </c>
      <c r="N135" s="55">
        <v>0</v>
      </c>
      <c r="O135" s="614">
        <v>4</v>
      </c>
      <c r="P135" s="445">
        <f t="shared" ref="P135:P138" si="292">W135*-1</f>
        <v>-4000</v>
      </c>
      <c r="Q135" s="325">
        <v>0</v>
      </c>
      <c r="R135" s="325">
        <v>0</v>
      </c>
      <c r="S135" s="325">
        <v>0</v>
      </c>
      <c r="T135" s="325">
        <v>0</v>
      </c>
      <c r="U135" s="325">
        <v>0</v>
      </c>
      <c r="V135" s="492">
        <f t="shared" ref="V135:V138" si="293">P135+Q135+R135+S135+T135+U135</f>
        <v>-4000</v>
      </c>
      <c r="W135" s="325">
        <v>4000</v>
      </c>
      <c r="X135" s="325">
        <v>0</v>
      </c>
      <c r="Y135" s="325">
        <v>0</v>
      </c>
      <c r="Z135" s="492">
        <f t="shared" ref="Z135:Z138" si="294">W135+X135+Y135</f>
        <v>4000</v>
      </c>
      <c r="AA135" s="492">
        <f t="shared" ref="AA135:AA138" si="295">V135+Z135</f>
        <v>0</v>
      </c>
      <c r="AB135" s="494">
        <f t="shared" ref="AB135:AB138" si="296">ROUND((V135+Z135)*33.8%,0)</f>
        <v>0</v>
      </c>
      <c r="AC135" s="494">
        <f t="shared" ref="AC135:AC138" si="297">ROUND(V135*1%,0)</f>
        <v>-40</v>
      </c>
      <c r="AD135" s="492">
        <v>0</v>
      </c>
      <c r="AE135" s="753">
        <f t="shared" ref="AE135:AE138" si="298">AA135+AB135+AC135+AD135</f>
        <v>-40</v>
      </c>
      <c r="AF135" s="688">
        <v>0</v>
      </c>
      <c r="AG135" s="326">
        <v>0</v>
      </c>
      <c r="AH135" s="326">
        <v>0</v>
      </c>
      <c r="AI135" s="326">
        <v>0</v>
      </c>
      <c r="AJ135" s="326">
        <v>0</v>
      </c>
      <c r="AK135" s="326">
        <v>0</v>
      </c>
      <c r="AL135" s="609">
        <f t="shared" ref="AL135:AL138" si="299">SUM(AF135:AK135)</f>
        <v>0</v>
      </c>
      <c r="AM135" s="493">
        <f>I135+AE135</f>
        <v>3176338</v>
      </c>
      <c r="AN135" s="492">
        <f>J135+V135</f>
        <v>2346408</v>
      </c>
      <c r="AO135" s="573">
        <f t="shared" ref="AO135:AO138" si="300">K135+Z135</f>
        <v>10000</v>
      </c>
      <c r="AP135" s="492">
        <f t="shared" ref="AP135:AQ138" si="301">L135+AB135</f>
        <v>796466</v>
      </c>
      <c r="AQ135" s="492">
        <f t="shared" si="301"/>
        <v>23464</v>
      </c>
      <c r="AR135" s="492">
        <v>0</v>
      </c>
      <c r="AS135" s="491">
        <f t="shared" ref="AS135:AS138" si="302">O135+AL135</f>
        <v>4</v>
      </c>
    </row>
    <row r="136" spans="1:45" s="152" customFormat="1" ht="12.75" customHeight="1" x14ac:dyDescent="0.2">
      <c r="A136" s="140">
        <v>30</v>
      </c>
      <c r="B136" s="141">
        <v>4431</v>
      </c>
      <c r="C136" s="141">
        <v>600074820</v>
      </c>
      <c r="D136" s="141">
        <v>70981515</v>
      </c>
      <c r="E136" s="139" t="s">
        <v>197</v>
      </c>
      <c r="F136" s="141">
        <v>3117</v>
      </c>
      <c r="G136" s="117" t="s">
        <v>280</v>
      </c>
      <c r="H136" s="560" t="s">
        <v>262</v>
      </c>
      <c r="I136" s="580">
        <v>3978950</v>
      </c>
      <c r="J136" s="490">
        <v>2918194</v>
      </c>
      <c r="K136" s="490">
        <v>33800</v>
      </c>
      <c r="L136" s="55">
        <v>997774</v>
      </c>
      <c r="M136" s="55">
        <v>29182</v>
      </c>
      <c r="N136" s="55">
        <v>0</v>
      </c>
      <c r="O136" s="614">
        <v>4.5</v>
      </c>
      <c r="P136" s="440">
        <f t="shared" si="292"/>
        <v>-4000</v>
      </c>
      <c r="Q136" s="325">
        <v>0</v>
      </c>
      <c r="R136" s="325">
        <v>0</v>
      </c>
      <c r="S136" s="325">
        <v>0</v>
      </c>
      <c r="T136" s="325">
        <v>0</v>
      </c>
      <c r="U136" s="325">
        <v>0</v>
      </c>
      <c r="V136" s="492">
        <f t="shared" si="293"/>
        <v>-4000</v>
      </c>
      <c r="W136" s="325">
        <v>4000</v>
      </c>
      <c r="X136" s="325">
        <v>0</v>
      </c>
      <c r="Y136" s="325">
        <v>0</v>
      </c>
      <c r="Z136" s="492">
        <f t="shared" si="294"/>
        <v>4000</v>
      </c>
      <c r="AA136" s="492">
        <f t="shared" si="295"/>
        <v>0</v>
      </c>
      <c r="AB136" s="494">
        <f t="shared" si="296"/>
        <v>0</v>
      </c>
      <c r="AC136" s="494">
        <f t="shared" si="297"/>
        <v>-40</v>
      </c>
      <c r="AD136" s="492">
        <v>0</v>
      </c>
      <c r="AE136" s="753">
        <f t="shared" si="298"/>
        <v>-40</v>
      </c>
      <c r="AF136" s="688">
        <v>0</v>
      </c>
      <c r="AG136" s="326">
        <v>0</v>
      </c>
      <c r="AH136" s="326">
        <v>0</v>
      </c>
      <c r="AI136" s="326">
        <v>0</v>
      </c>
      <c r="AJ136" s="326">
        <v>0</v>
      </c>
      <c r="AK136" s="326">
        <v>0</v>
      </c>
      <c r="AL136" s="609">
        <f t="shared" si="299"/>
        <v>0</v>
      </c>
      <c r="AM136" s="493">
        <f>I136+AE136</f>
        <v>3978910</v>
      </c>
      <c r="AN136" s="492">
        <f>J136+V136</f>
        <v>2914194</v>
      </c>
      <c r="AO136" s="573">
        <f t="shared" si="300"/>
        <v>37800</v>
      </c>
      <c r="AP136" s="492">
        <f t="shared" si="301"/>
        <v>997774</v>
      </c>
      <c r="AQ136" s="492">
        <f t="shared" si="301"/>
        <v>29142</v>
      </c>
      <c r="AR136" s="492">
        <v>0</v>
      </c>
      <c r="AS136" s="491">
        <f t="shared" si="302"/>
        <v>4.5</v>
      </c>
    </row>
    <row r="137" spans="1:45" s="152" customFormat="1" ht="12.75" customHeight="1" x14ac:dyDescent="0.2">
      <c r="A137" s="140">
        <v>30</v>
      </c>
      <c r="B137" s="141">
        <v>4431</v>
      </c>
      <c r="C137" s="141">
        <v>600074820</v>
      </c>
      <c r="D137" s="141">
        <v>70981515</v>
      </c>
      <c r="E137" s="139" t="s">
        <v>197</v>
      </c>
      <c r="F137" s="141">
        <v>3117</v>
      </c>
      <c r="G137" s="117" t="s">
        <v>278</v>
      </c>
      <c r="H137" s="560" t="s">
        <v>263</v>
      </c>
      <c r="I137" s="580">
        <v>1753458</v>
      </c>
      <c r="J137" s="490">
        <v>1300785</v>
      </c>
      <c r="K137" s="490">
        <v>0</v>
      </c>
      <c r="L137" s="55">
        <v>439665</v>
      </c>
      <c r="M137" s="55">
        <v>13008</v>
      </c>
      <c r="N137" s="55">
        <v>0</v>
      </c>
      <c r="O137" s="614">
        <v>3.28</v>
      </c>
      <c r="P137" s="440">
        <f t="shared" si="292"/>
        <v>0</v>
      </c>
      <c r="Q137" s="325">
        <v>0</v>
      </c>
      <c r="R137" s="325">
        <v>0</v>
      </c>
      <c r="S137" s="325">
        <v>0</v>
      </c>
      <c r="T137" s="325">
        <v>0</v>
      </c>
      <c r="U137" s="325">
        <v>0</v>
      </c>
      <c r="V137" s="492">
        <f t="shared" si="293"/>
        <v>0</v>
      </c>
      <c r="W137" s="325">
        <v>0</v>
      </c>
      <c r="X137" s="325">
        <v>0</v>
      </c>
      <c r="Y137" s="325">
        <v>0</v>
      </c>
      <c r="Z137" s="492">
        <f t="shared" si="294"/>
        <v>0</v>
      </c>
      <c r="AA137" s="492">
        <f t="shared" si="295"/>
        <v>0</v>
      </c>
      <c r="AB137" s="494">
        <f t="shared" si="296"/>
        <v>0</v>
      </c>
      <c r="AC137" s="494">
        <f t="shared" si="297"/>
        <v>0</v>
      </c>
      <c r="AD137" s="492">
        <v>0</v>
      </c>
      <c r="AE137" s="753">
        <f t="shared" si="298"/>
        <v>0</v>
      </c>
      <c r="AF137" s="688">
        <v>0</v>
      </c>
      <c r="AG137" s="326">
        <v>0</v>
      </c>
      <c r="AH137" s="326">
        <v>0</v>
      </c>
      <c r="AI137" s="326">
        <v>0</v>
      </c>
      <c r="AJ137" s="326">
        <v>0</v>
      </c>
      <c r="AK137" s="326">
        <v>0</v>
      </c>
      <c r="AL137" s="609">
        <f t="shared" si="299"/>
        <v>0</v>
      </c>
      <c r="AM137" s="493">
        <f>I137+AE137</f>
        <v>1753458</v>
      </c>
      <c r="AN137" s="492">
        <f>J137+V137</f>
        <v>1300785</v>
      </c>
      <c r="AO137" s="573">
        <f t="shared" si="300"/>
        <v>0</v>
      </c>
      <c r="AP137" s="492">
        <f t="shared" si="301"/>
        <v>439665</v>
      </c>
      <c r="AQ137" s="492">
        <f t="shared" si="301"/>
        <v>13008</v>
      </c>
      <c r="AR137" s="492">
        <v>0</v>
      </c>
      <c r="AS137" s="491">
        <f t="shared" si="302"/>
        <v>3.28</v>
      </c>
    </row>
    <row r="138" spans="1:45" s="152" customFormat="1" ht="12.75" customHeight="1" x14ac:dyDescent="0.2">
      <c r="A138" s="140">
        <v>30</v>
      </c>
      <c r="B138" s="141">
        <v>4431</v>
      </c>
      <c r="C138" s="141">
        <v>600074820</v>
      </c>
      <c r="D138" s="141">
        <v>70981515</v>
      </c>
      <c r="E138" s="139" t="s">
        <v>197</v>
      </c>
      <c r="F138" s="141">
        <v>3143</v>
      </c>
      <c r="G138" s="117" t="s">
        <v>794</v>
      </c>
      <c r="H138" s="157" t="s">
        <v>262</v>
      </c>
      <c r="I138" s="580">
        <v>1322014</v>
      </c>
      <c r="J138" s="490">
        <v>980723</v>
      </c>
      <c r="K138" s="490">
        <v>0</v>
      </c>
      <c r="L138" s="55">
        <v>331484</v>
      </c>
      <c r="M138" s="55">
        <v>9807</v>
      </c>
      <c r="N138" s="55">
        <v>0</v>
      </c>
      <c r="O138" s="614">
        <v>2</v>
      </c>
      <c r="P138" s="440">
        <f t="shared" si="292"/>
        <v>0</v>
      </c>
      <c r="Q138" s="325">
        <v>0</v>
      </c>
      <c r="R138" s="325">
        <v>0</v>
      </c>
      <c r="S138" s="325">
        <v>0</v>
      </c>
      <c r="T138" s="325">
        <v>0</v>
      </c>
      <c r="U138" s="325">
        <v>0</v>
      </c>
      <c r="V138" s="492">
        <f t="shared" si="293"/>
        <v>0</v>
      </c>
      <c r="W138" s="325">
        <v>0</v>
      </c>
      <c r="X138" s="325">
        <v>0</v>
      </c>
      <c r="Y138" s="325">
        <v>0</v>
      </c>
      <c r="Z138" s="492">
        <f t="shared" si="294"/>
        <v>0</v>
      </c>
      <c r="AA138" s="492">
        <f t="shared" si="295"/>
        <v>0</v>
      </c>
      <c r="AB138" s="494">
        <f t="shared" si="296"/>
        <v>0</v>
      </c>
      <c r="AC138" s="494">
        <f t="shared" si="297"/>
        <v>0</v>
      </c>
      <c r="AD138" s="492">
        <v>0</v>
      </c>
      <c r="AE138" s="753">
        <f t="shared" si="298"/>
        <v>0</v>
      </c>
      <c r="AF138" s="688">
        <v>0</v>
      </c>
      <c r="AG138" s="326">
        <v>0</v>
      </c>
      <c r="AH138" s="326">
        <v>0</v>
      </c>
      <c r="AI138" s="326">
        <v>0</v>
      </c>
      <c r="AJ138" s="326">
        <v>0</v>
      </c>
      <c r="AK138" s="326">
        <v>0</v>
      </c>
      <c r="AL138" s="609">
        <f t="shared" si="299"/>
        <v>0</v>
      </c>
      <c r="AM138" s="493">
        <f>I138+AE138</f>
        <v>1322014</v>
      </c>
      <c r="AN138" s="492">
        <f>J138+V138</f>
        <v>980723</v>
      </c>
      <c r="AO138" s="573">
        <f t="shared" si="300"/>
        <v>0</v>
      </c>
      <c r="AP138" s="492">
        <f t="shared" si="301"/>
        <v>331484</v>
      </c>
      <c r="AQ138" s="492">
        <f t="shared" si="301"/>
        <v>9807</v>
      </c>
      <c r="AR138" s="492">
        <v>0</v>
      </c>
      <c r="AS138" s="491">
        <f t="shared" si="302"/>
        <v>2</v>
      </c>
    </row>
    <row r="139" spans="1:45" s="152" customFormat="1" ht="12.75" customHeight="1" x14ac:dyDescent="0.2">
      <c r="A139" s="107">
        <v>30</v>
      </c>
      <c r="B139" s="15">
        <v>4431</v>
      </c>
      <c r="C139" s="15">
        <v>600074820</v>
      </c>
      <c r="D139" s="15">
        <v>70981515</v>
      </c>
      <c r="E139" s="116" t="s">
        <v>198</v>
      </c>
      <c r="F139" s="15"/>
      <c r="G139" s="106"/>
      <c r="H139" s="555"/>
      <c r="I139" s="757">
        <v>10230800</v>
      </c>
      <c r="J139" s="341">
        <v>7550110</v>
      </c>
      <c r="K139" s="341">
        <v>39800</v>
      </c>
      <c r="L139" s="341">
        <v>2565389</v>
      </c>
      <c r="M139" s="341">
        <v>75501</v>
      </c>
      <c r="N139" s="341">
        <v>0</v>
      </c>
      <c r="O139" s="36">
        <v>13.78</v>
      </c>
      <c r="P139" s="345">
        <f t="shared" ref="P139:AS139" si="303">SUM(P135:P138)</f>
        <v>-8000</v>
      </c>
      <c r="Q139" s="341">
        <f t="shared" si="303"/>
        <v>0</v>
      </c>
      <c r="R139" s="341">
        <f t="shared" si="303"/>
        <v>0</v>
      </c>
      <c r="S139" s="341">
        <f t="shared" si="303"/>
        <v>0</v>
      </c>
      <c r="T139" s="341">
        <f t="shared" si="303"/>
        <v>0</v>
      </c>
      <c r="U139" s="341">
        <f t="shared" si="303"/>
        <v>0</v>
      </c>
      <c r="V139" s="341">
        <f t="shared" si="303"/>
        <v>-8000</v>
      </c>
      <c r="W139" s="341">
        <f t="shared" si="303"/>
        <v>8000</v>
      </c>
      <c r="X139" s="341">
        <f t="shared" si="303"/>
        <v>0</v>
      </c>
      <c r="Y139" s="341">
        <f t="shared" si="303"/>
        <v>0</v>
      </c>
      <c r="Z139" s="341">
        <f t="shared" si="303"/>
        <v>8000</v>
      </c>
      <c r="AA139" s="341">
        <f t="shared" si="303"/>
        <v>0</v>
      </c>
      <c r="AB139" s="341">
        <f t="shared" si="303"/>
        <v>0</v>
      </c>
      <c r="AC139" s="341">
        <f t="shared" si="303"/>
        <v>-80</v>
      </c>
      <c r="AD139" s="341">
        <f t="shared" si="303"/>
        <v>0</v>
      </c>
      <c r="AE139" s="762">
        <f t="shared" si="303"/>
        <v>-80</v>
      </c>
      <c r="AF139" s="766">
        <f t="shared" si="303"/>
        <v>0</v>
      </c>
      <c r="AG139" s="342">
        <f t="shared" si="303"/>
        <v>0</v>
      </c>
      <c r="AH139" s="342">
        <f t="shared" si="303"/>
        <v>0</v>
      </c>
      <c r="AI139" s="342">
        <f t="shared" si="303"/>
        <v>0</v>
      </c>
      <c r="AJ139" s="342">
        <f t="shared" si="303"/>
        <v>0</v>
      </c>
      <c r="AK139" s="342">
        <f t="shared" si="303"/>
        <v>0</v>
      </c>
      <c r="AL139" s="36">
        <f t="shared" si="303"/>
        <v>0</v>
      </c>
      <c r="AM139" s="345">
        <f t="shared" si="303"/>
        <v>10230720</v>
      </c>
      <c r="AN139" s="341">
        <f t="shared" si="303"/>
        <v>7542110</v>
      </c>
      <c r="AO139" s="341">
        <f t="shared" si="303"/>
        <v>47800</v>
      </c>
      <c r="AP139" s="341">
        <f t="shared" si="303"/>
        <v>2565389</v>
      </c>
      <c r="AQ139" s="341">
        <f t="shared" si="303"/>
        <v>75421</v>
      </c>
      <c r="AR139" s="341">
        <f t="shared" si="303"/>
        <v>0</v>
      </c>
      <c r="AS139" s="342">
        <f t="shared" si="303"/>
        <v>13.78</v>
      </c>
    </row>
    <row r="140" spans="1:45" s="152" customFormat="1" ht="12.75" customHeight="1" x14ac:dyDescent="0.2">
      <c r="A140" s="140">
        <v>31</v>
      </c>
      <c r="B140" s="141">
        <v>4416</v>
      </c>
      <c r="C140" s="141">
        <v>600074153</v>
      </c>
      <c r="D140" s="141">
        <v>71013105</v>
      </c>
      <c r="E140" s="139" t="s">
        <v>199</v>
      </c>
      <c r="F140" s="141">
        <v>3111</v>
      </c>
      <c r="G140" s="117" t="s">
        <v>277</v>
      </c>
      <c r="H140" s="560" t="s">
        <v>262</v>
      </c>
      <c r="I140" s="580">
        <v>3476436</v>
      </c>
      <c r="J140" s="490">
        <v>2578958</v>
      </c>
      <c r="K140" s="490">
        <v>0</v>
      </c>
      <c r="L140" s="55">
        <v>871688</v>
      </c>
      <c r="M140" s="55">
        <v>25790</v>
      </c>
      <c r="N140" s="55">
        <v>0</v>
      </c>
      <c r="O140" s="614">
        <v>4</v>
      </c>
      <c r="P140" s="445">
        <f>W140*-1</f>
        <v>0</v>
      </c>
      <c r="Q140" s="325">
        <v>0</v>
      </c>
      <c r="R140" s="325">
        <v>0</v>
      </c>
      <c r="S140" s="325">
        <v>0</v>
      </c>
      <c r="T140" s="325">
        <v>0</v>
      </c>
      <c r="U140" s="325">
        <v>0</v>
      </c>
      <c r="V140" s="492">
        <f t="shared" ref="V140:V141" si="304">P140+Q140+R140+S140+T140+U140</f>
        <v>0</v>
      </c>
      <c r="W140" s="325">
        <v>0</v>
      </c>
      <c r="X140" s="325">
        <v>0</v>
      </c>
      <c r="Y140" s="325">
        <v>0</v>
      </c>
      <c r="Z140" s="492">
        <f t="shared" ref="Z140:Z141" si="305">W140+X140+Y140</f>
        <v>0</v>
      </c>
      <c r="AA140" s="492">
        <f t="shared" ref="AA140:AA141" si="306">V140+Z140</f>
        <v>0</v>
      </c>
      <c r="AB140" s="494">
        <f t="shared" ref="AB140:AB141" si="307">ROUND((V140+Z140)*33.8%,0)</f>
        <v>0</v>
      </c>
      <c r="AC140" s="494">
        <f t="shared" ref="AC140:AC141" si="308">ROUND(V140*1%,0)</f>
        <v>0</v>
      </c>
      <c r="AD140" s="492">
        <v>0</v>
      </c>
      <c r="AE140" s="753">
        <f t="shared" ref="AE140:AE141" si="309">AA140+AB140+AC140+AD140</f>
        <v>0</v>
      </c>
      <c r="AF140" s="688">
        <v>0</v>
      </c>
      <c r="AG140" s="326">
        <v>0</v>
      </c>
      <c r="AH140" s="326">
        <v>0</v>
      </c>
      <c r="AI140" s="326">
        <v>0</v>
      </c>
      <c r="AJ140" s="326">
        <v>0</v>
      </c>
      <c r="AK140" s="326">
        <v>0</v>
      </c>
      <c r="AL140" s="609">
        <f t="shared" ref="AL140:AL141" si="310">SUM(AF140:AK140)</f>
        <v>0</v>
      </c>
      <c r="AM140" s="493">
        <f>I140+AE140</f>
        <v>3476436</v>
      </c>
      <c r="AN140" s="492">
        <f>J140+V140</f>
        <v>2578958</v>
      </c>
      <c r="AO140" s="573">
        <f t="shared" ref="AO140:AO141" si="311">K140+Z140</f>
        <v>0</v>
      </c>
      <c r="AP140" s="492">
        <f>L140+AB140</f>
        <v>871688</v>
      </c>
      <c r="AQ140" s="492">
        <f>M140+AC140</f>
        <v>25790</v>
      </c>
      <c r="AR140" s="492">
        <v>0</v>
      </c>
      <c r="AS140" s="491">
        <f t="shared" ref="AS140:AS141" si="312">O140+AL140</f>
        <v>4</v>
      </c>
    </row>
    <row r="141" spans="1:45" s="152" customFormat="1" ht="12.75" customHeight="1" x14ac:dyDescent="0.2">
      <c r="A141" s="140">
        <v>31</v>
      </c>
      <c r="B141" s="141">
        <v>4416</v>
      </c>
      <c r="C141" s="141">
        <v>600074153</v>
      </c>
      <c r="D141" s="141">
        <v>71013105</v>
      </c>
      <c r="E141" s="139" t="s">
        <v>199</v>
      </c>
      <c r="F141" s="141">
        <v>3111</v>
      </c>
      <c r="G141" s="117" t="s">
        <v>278</v>
      </c>
      <c r="H141" s="560" t="s">
        <v>263</v>
      </c>
      <c r="I141" s="580">
        <v>936163</v>
      </c>
      <c r="J141" s="490">
        <v>694483</v>
      </c>
      <c r="K141" s="490">
        <v>0</v>
      </c>
      <c r="L141" s="55">
        <v>234735</v>
      </c>
      <c r="M141" s="55">
        <v>6945</v>
      </c>
      <c r="N141" s="55">
        <v>0</v>
      </c>
      <c r="O141" s="614">
        <v>1.75</v>
      </c>
      <c r="P141" s="440">
        <f>W141*-1</f>
        <v>0</v>
      </c>
      <c r="Q141" s="325">
        <v>0</v>
      </c>
      <c r="R141" s="325">
        <v>0</v>
      </c>
      <c r="S141" s="325">
        <v>0</v>
      </c>
      <c r="T141" s="325">
        <v>0</v>
      </c>
      <c r="U141" s="325">
        <v>0</v>
      </c>
      <c r="V141" s="492">
        <f t="shared" si="304"/>
        <v>0</v>
      </c>
      <c r="W141" s="325">
        <v>0</v>
      </c>
      <c r="X141" s="325">
        <v>0</v>
      </c>
      <c r="Y141" s="325">
        <v>0</v>
      </c>
      <c r="Z141" s="492">
        <f t="shared" si="305"/>
        <v>0</v>
      </c>
      <c r="AA141" s="492">
        <f t="shared" si="306"/>
        <v>0</v>
      </c>
      <c r="AB141" s="494">
        <f t="shared" si="307"/>
        <v>0</v>
      </c>
      <c r="AC141" s="494">
        <f t="shared" si="308"/>
        <v>0</v>
      </c>
      <c r="AD141" s="492">
        <v>0</v>
      </c>
      <c r="AE141" s="753">
        <f t="shared" si="309"/>
        <v>0</v>
      </c>
      <c r="AF141" s="688">
        <v>0</v>
      </c>
      <c r="AG141" s="326">
        <v>0</v>
      </c>
      <c r="AH141" s="326">
        <v>0</v>
      </c>
      <c r="AI141" s="326">
        <v>0</v>
      </c>
      <c r="AJ141" s="326">
        <v>0</v>
      </c>
      <c r="AK141" s="326">
        <v>0</v>
      </c>
      <c r="AL141" s="609">
        <f t="shared" si="310"/>
        <v>0</v>
      </c>
      <c r="AM141" s="493">
        <f>I141+AE141</f>
        <v>936163</v>
      </c>
      <c r="AN141" s="492">
        <f>J141+V141</f>
        <v>694483</v>
      </c>
      <c r="AO141" s="573">
        <f t="shared" si="311"/>
        <v>0</v>
      </c>
      <c r="AP141" s="492">
        <f>L141+AB141</f>
        <v>234735</v>
      </c>
      <c r="AQ141" s="492">
        <f>M141+AC141</f>
        <v>6945</v>
      </c>
      <c r="AR141" s="492">
        <v>0</v>
      </c>
      <c r="AS141" s="491">
        <f t="shared" si="312"/>
        <v>1.75</v>
      </c>
    </row>
    <row r="142" spans="1:45" s="152" customFormat="1" ht="12.75" customHeight="1" x14ac:dyDescent="0.2">
      <c r="A142" s="107">
        <v>31</v>
      </c>
      <c r="B142" s="15">
        <v>4416</v>
      </c>
      <c r="C142" s="15">
        <v>600074153</v>
      </c>
      <c r="D142" s="15">
        <v>71013105</v>
      </c>
      <c r="E142" s="116" t="s">
        <v>200</v>
      </c>
      <c r="F142" s="15"/>
      <c r="G142" s="106"/>
      <c r="H142" s="555"/>
      <c r="I142" s="758">
        <v>4412599</v>
      </c>
      <c r="J142" s="343">
        <v>3273441</v>
      </c>
      <c r="K142" s="343">
        <v>0</v>
      </c>
      <c r="L142" s="343">
        <v>1106423</v>
      </c>
      <c r="M142" s="343">
        <v>32735</v>
      </c>
      <c r="N142" s="343">
        <v>0</v>
      </c>
      <c r="O142" s="35">
        <v>5.75</v>
      </c>
      <c r="P142" s="346">
        <f t="shared" ref="P142:AS142" si="313">SUM(P140:P141)</f>
        <v>0</v>
      </c>
      <c r="Q142" s="343">
        <f t="shared" si="313"/>
        <v>0</v>
      </c>
      <c r="R142" s="343">
        <f t="shared" si="313"/>
        <v>0</v>
      </c>
      <c r="S142" s="343">
        <f t="shared" si="313"/>
        <v>0</v>
      </c>
      <c r="T142" s="343">
        <f t="shared" si="313"/>
        <v>0</v>
      </c>
      <c r="U142" s="343">
        <f t="shared" si="313"/>
        <v>0</v>
      </c>
      <c r="V142" s="343">
        <f t="shared" si="313"/>
        <v>0</v>
      </c>
      <c r="W142" s="343">
        <f t="shared" si="313"/>
        <v>0</v>
      </c>
      <c r="X142" s="343">
        <f t="shared" si="313"/>
        <v>0</v>
      </c>
      <c r="Y142" s="343">
        <f t="shared" si="313"/>
        <v>0</v>
      </c>
      <c r="Z142" s="343">
        <f t="shared" si="313"/>
        <v>0</v>
      </c>
      <c r="AA142" s="343">
        <f t="shared" si="313"/>
        <v>0</v>
      </c>
      <c r="AB142" s="343">
        <f t="shared" si="313"/>
        <v>0</v>
      </c>
      <c r="AC142" s="343">
        <f t="shared" si="313"/>
        <v>0</v>
      </c>
      <c r="AD142" s="343">
        <f t="shared" si="313"/>
        <v>0</v>
      </c>
      <c r="AE142" s="763">
        <f t="shared" si="313"/>
        <v>0</v>
      </c>
      <c r="AF142" s="767">
        <f t="shared" si="313"/>
        <v>0</v>
      </c>
      <c r="AG142" s="344">
        <f t="shared" si="313"/>
        <v>0</v>
      </c>
      <c r="AH142" s="344">
        <f t="shared" si="313"/>
        <v>0</v>
      </c>
      <c r="AI142" s="344">
        <f t="shared" si="313"/>
        <v>0</v>
      </c>
      <c r="AJ142" s="344">
        <f t="shared" si="313"/>
        <v>0</v>
      </c>
      <c r="AK142" s="344">
        <f t="shared" si="313"/>
        <v>0</v>
      </c>
      <c r="AL142" s="35">
        <f t="shared" si="313"/>
        <v>0</v>
      </c>
      <c r="AM142" s="346">
        <f t="shared" si="313"/>
        <v>4412599</v>
      </c>
      <c r="AN142" s="343">
        <f t="shared" si="313"/>
        <v>3273441</v>
      </c>
      <c r="AO142" s="343">
        <f t="shared" si="313"/>
        <v>0</v>
      </c>
      <c r="AP142" s="343">
        <f t="shared" si="313"/>
        <v>1106423</v>
      </c>
      <c r="AQ142" s="343">
        <f t="shared" si="313"/>
        <v>32735</v>
      </c>
      <c r="AR142" s="343">
        <f t="shared" si="313"/>
        <v>0</v>
      </c>
      <c r="AS142" s="344">
        <f t="shared" si="313"/>
        <v>5.75</v>
      </c>
    </row>
    <row r="143" spans="1:45" s="152" customFormat="1" ht="12.75" customHeight="1" x14ac:dyDescent="0.2">
      <c r="A143" s="140">
        <v>32</v>
      </c>
      <c r="B143" s="141">
        <v>4447</v>
      </c>
      <c r="C143" s="141">
        <v>600074749</v>
      </c>
      <c r="D143" s="141">
        <v>70695962</v>
      </c>
      <c r="E143" s="139" t="s">
        <v>201</v>
      </c>
      <c r="F143" s="141">
        <v>3113</v>
      </c>
      <c r="G143" s="117" t="s">
        <v>280</v>
      </c>
      <c r="H143" s="560" t="s">
        <v>262</v>
      </c>
      <c r="I143" s="580">
        <v>10821096</v>
      </c>
      <c r="J143" s="490">
        <v>8027519</v>
      </c>
      <c r="K143" s="490">
        <v>0</v>
      </c>
      <c r="L143" s="55">
        <v>2713302</v>
      </c>
      <c r="M143" s="55">
        <v>80275</v>
      </c>
      <c r="N143" s="55">
        <v>0</v>
      </c>
      <c r="O143" s="614">
        <v>11.36</v>
      </c>
      <c r="P143" s="445">
        <f>W143*-1</f>
        <v>0</v>
      </c>
      <c r="Q143" s="325">
        <v>0</v>
      </c>
      <c r="R143" s="325">
        <v>0</v>
      </c>
      <c r="S143" s="325">
        <v>0</v>
      </c>
      <c r="T143" s="325">
        <v>0</v>
      </c>
      <c r="U143" s="325">
        <v>0</v>
      </c>
      <c r="V143" s="492">
        <f t="shared" ref="V143:V145" si="314">P143+Q143+R143+S143+T143+U143</f>
        <v>0</v>
      </c>
      <c r="W143" s="325">
        <v>0</v>
      </c>
      <c r="X143" s="325">
        <v>0</v>
      </c>
      <c r="Y143" s="325">
        <v>0</v>
      </c>
      <c r="Z143" s="492">
        <f t="shared" ref="Z143:Z145" si="315">W143+X143+Y143</f>
        <v>0</v>
      </c>
      <c r="AA143" s="492">
        <f t="shared" ref="AA143:AA145" si="316">V143+Z143</f>
        <v>0</v>
      </c>
      <c r="AB143" s="494">
        <f t="shared" ref="AB143:AB145" si="317">ROUND((V143+Z143)*33.8%,0)</f>
        <v>0</v>
      </c>
      <c r="AC143" s="494">
        <f t="shared" ref="AC143:AC145" si="318">ROUND(V143*1%,0)</f>
        <v>0</v>
      </c>
      <c r="AD143" s="492">
        <v>0</v>
      </c>
      <c r="AE143" s="753">
        <f t="shared" ref="AE143:AE145" si="319">AA143+AB143+AC143+AD143</f>
        <v>0</v>
      </c>
      <c r="AF143" s="688">
        <v>0</v>
      </c>
      <c r="AG143" s="326">
        <v>0</v>
      </c>
      <c r="AH143" s="326">
        <v>0</v>
      </c>
      <c r="AI143" s="326">
        <v>0</v>
      </c>
      <c r="AJ143" s="326">
        <v>0</v>
      </c>
      <c r="AK143" s="326">
        <v>0</v>
      </c>
      <c r="AL143" s="609">
        <f t="shared" ref="AL143:AL145" si="320">SUM(AF143:AK143)</f>
        <v>0</v>
      </c>
      <c r="AM143" s="493">
        <f>I143+AE143</f>
        <v>10821096</v>
      </c>
      <c r="AN143" s="492">
        <f>J143+V143</f>
        <v>8027519</v>
      </c>
      <c r="AO143" s="573">
        <f t="shared" ref="AO143:AO145" si="321">K143+Z143</f>
        <v>0</v>
      </c>
      <c r="AP143" s="492">
        <f t="shared" ref="AP143:AQ145" si="322">L143+AB143</f>
        <v>2713302</v>
      </c>
      <c r="AQ143" s="492">
        <f t="shared" si="322"/>
        <v>80275</v>
      </c>
      <c r="AR143" s="492">
        <v>0</v>
      </c>
      <c r="AS143" s="491">
        <f t="shared" ref="AS143:AS145" si="323">O143+AL143</f>
        <v>11.36</v>
      </c>
    </row>
    <row r="144" spans="1:45" s="152" customFormat="1" ht="12.75" customHeight="1" x14ac:dyDescent="0.2">
      <c r="A144" s="140">
        <v>32</v>
      </c>
      <c r="B144" s="141">
        <v>4447</v>
      </c>
      <c r="C144" s="141">
        <v>600074749</v>
      </c>
      <c r="D144" s="141">
        <v>70695962</v>
      </c>
      <c r="E144" s="139" t="s">
        <v>201</v>
      </c>
      <c r="F144" s="141">
        <v>3113</v>
      </c>
      <c r="G144" s="117" t="s">
        <v>278</v>
      </c>
      <c r="H144" s="560" t="s">
        <v>263</v>
      </c>
      <c r="I144" s="580">
        <v>1974314</v>
      </c>
      <c r="J144" s="490">
        <v>1464625</v>
      </c>
      <c r="K144" s="490">
        <v>0</v>
      </c>
      <c r="L144" s="55">
        <v>495043</v>
      </c>
      <c r="M144" s="55">
        <v>14646</v>
      </c>
      <c r="N144" s="55">
        <v>0</v>
      </c>
      <c r="O144" s="614">
        <v>3.92</v>
      </c>
      <c r="P144" s="440">
        <f>W144*-1</f>
        <v>0</v>
      </c>
      <c r="Q144" s="325">
        <v>0</v>
      </c>
      <c r="R144" s="325">
        <v>0</v>
      </c>
      <c r="S144" s="325">
        <v>0</v>
      </c>
      <c r="T144" s="325">
        <v>0</v>
      </c>
      <c r="U144" s="325">
        <v>0</v>
      </c>
      <c r="V144" s="492">
        <f t="shared" si="314"/>
        <v>0</v>
      </c>
      <c r="W144" s="325">
        <v>0</v>
      </c>
      <c r="X144" s="325">
        <v>0</v>
      </c>
      <c r="Y144" s="325">
        <v>0</v>
      </c>
      <c r="Z144" s="492">
        <f t="shared" si="315"/>
        <v>0</v>
      </c>
      <c r="AA144" s="492">
        <f t="shared" si="316"/>
        <v>0</v>
      </c>
      <c r="AB144" s="494">
        <f t="shared" si="317"/>
        <v>0</v>
      </c>
      <c r="AC144" s="494">
        <f t="shared" si="318"/>
        <v>0</v>
      </c>
      <c r="AD144" s="492">
        <v>0</v>
      </c>
      <c r="AE144" s="753">
        <f t="shared" si="319"/>
        <v>0</v>
      </c>
      <c r="AF144" s="688">
        <v>0</v>
      </c>
      <c r="AG144" s="326">
        <v>0</v>
      </c>
      <c r="AH144" s="326">
        <v>0</v>
      </c>
      <c r="AI144" s="326">
        <v>0</v>
      </c>
      <c r="AJ144" s="326">
        <v>0</v>
      </c>
      <c r="AK144" s="326">
        <v>0</v>
      </c>
      <c r="AL144" s="609">
        <f t="shared" si="320"/>
        <v>0</v>
      </c>
      <c r="AM144" s="493">
        <f>I144+AE144</f>
        <v>1974314</v>
      </c>
      <c r="AN144" s="492">
        <f>J144+V144</f>
        <v>1464625</v>
      </c>
      <c r="AO144" s="573">
        <f t="shared" si="321"/>
        <v>0</v>
      </c>
      <c r="AP144" s="492">
        <f t="shared" si="322"/>
        <v>495043</v>
      </c>
      <c r="AQ144" s="492">
        <f t="shared" si="322"/>
        <v>14646</v>
      </c>
      <c r="AR144" s="492">
        <v>0</v>
      </c>
      <c r="AS144" s="491">
        <f t="shared" si="323"/>
        <v>3.92</v>
      </c>
    </row>
    <row r="145" spans="1:45" s="152" customFormat="1" ht="12.75" customHeight="1" x14ac:dyDescent="0.2">
      <c r="A145" s="140">
        <v>32</v>
      </c>
      <c r="B145" s="141">
        <v>4447</v>
      </c>
      <c r="C145" s="141">
        <v>600074749</v>
      </c>
      <c r="D145" s="141">
        <v>70695962</v>
      </c>
      <c r="E145" s="139" t="s">
        <v>780</v>
      </c>
      <c r="F145" s="141">
        <v>3143</v>
      </c>
      <c r="G145" s="117" t="s">
        <v>795</v>
      </c>
      <c r="H145" s="157" t="s">
        <v>262</v>
      </c>
      <c r="I145" s="580">
        <v>1224492</v>
      </c>
      <c r="J145" s="490">
        <v>908377</v>
      </c>
      <c r="K145" s="490">
        <v>0</v>
      </c>
      <c r="L145" s="55">
        <v>307031</v>
      </c>
      <c r="M145" s="55">
        <v>9084</v>
      </c>
      <c r="N145" s="55">
        <v>0</v>
      </c>
      <c r="O145" s="614">
        <v>1.83</v>
      </c>
      <c r="P145" s="440">
        <f>W145*-1</f>
        <v>0</v>
      </c>
      <c r="Q145" s="325">
        <v>0</v>
      </c>
      <c r="R145" s="325">
        <v>0</v>
      </c>
      <c r="S145" s="325">
        <v>0</v>
      </c>
      <c r="T145" s="325">
        <v>0</v>
      </c>
      <c r="U145" s="325">
        <v>0</v>
      </c>
      <c r="V145" s="492">
        <f t="shared" si="314"/>
        <v>0</v>
      </c>
      <c r="W145" s="325">
        <v>0</v>
      </c>
      <c r="X145" s="325">
        <v>0</v>
      </c>
      <c r="Y145" s="325">
        <v>0</v>
      </c>
      <c r="Z145" s="492">
        <f t="shared" si="315"/>
        <v>0</v>
      </c>
      <c r="AA145" s="492">
        <f t="shared" si="316"/>
        <v>0</v>
      </c>
      <c r="AB145" s="494">
        <f t="shared" si="317"/>
        <v>0</v>
      </c>
      <c r="AC145" s="494">
        <f t="shared" si="318"/>
        <v>0</v>
      </c>
      <c r="AD145" s="492">
        <v>0</v>
      </c>
      <c r="AE145" s="753">
        <f t="shared" si="319"/>
        <v>0</v>
      </c>
      <c r="AF145" s="688">
        <v>0</v>
      </c>
      <c r="AG145" s="326">
        <v>0</v>
      </c>
      <c r="AH145" s="326">
        <v>0</v>
      </c>
      <c r="AI145" s="326">
        <v>0</v>
      </c>
      <c r="AJ145" s="326">
        <v>0</v>
      </c>
      <c r="AK145" s="326">
        <v>0</v>
      </c>
      <c r="AL145" s="609">
        <f t="shared" si="320"/>
        <v>0</v>
      </c>
      <c r="AM145" s="493">
        <f>I145+AE145</f>
        <v>1224492</v>
      </c>
      <c r="AN145" s="492">
        <f>J145+V145</f>
        <v>908377</v>
      </c>
      <c r="AO145" s="573">
        <f t="shared" si="321"/>
        <v>0</v>
      </c>
      <c r="AP145" s="492">
        <f t="shared" si="322"/>
        <v>307031</v>
      </c>
      <c r="AQ145" s="492">
        <f t="shared" si="322"/>
        <v>9084</v>
      </c>
      <c r="AR145" s="492">
        <v>0</v>
      </c>
      <c r="AS145" s="491">
        <f t="shared" si="323"/>
        <v>1.83</v>
      </c>
    </row>
    <row r="146" spans="1:45" s="152" customFormat="1" ht="12.75" customHeight="1" x14ac:dyDescent="0.2">
      <c r="A146" s="107">
        <v>32</v>
      </c>
      <c r="B146" s="15">
        <v>4447</v>
      </c>
      <c r="C146" s="15">
        <v>600074749</v>
      </c>
      <c r="D146" s="15">
        <v>70695962</v>
      </c>
      <c r="E146" s="116" t="s">
        <v>202</v>
      </c>
      <c r="F146" s="15"/>
      <c r="G146" s="106"/>
      <c r="H146" s="555"/>
      <c r="I146" s="758">
        <v>14019902</v>
      </c>
      <c r="J146" s="343">
        <v>10400521</v>
      </c>
      <c r="K146" s="343">
        <v>0</v>
      </c>
      <c r="L146" s="343">
        <v>3515376</v>
      </c>
      <c r="M146" s="343">
        <v>104005</v>
      </c>
      <c r="N146" s="343">
        <v>0</v>
      </c>
      <c r="O146" s="35">
        <v>17.11</v>
      </c>
      <c r="P146" s="346">
        <f t="shared" ref="P146:AS146" si="324">SUM(P143:P145)</f>
        <v>0</v>
      </c>
      <c r="Q146" s="343">
        <f t="shared" si="324"/>
        <v>0</v>
      </c>
      <c r="R146" s="343">
        <f t="shared" si="324"/>
        <v>0</v>
      </c>
      <c r="S146" s="343">
        <f t="shared" si="324"/>
        <v>0</v>
      </c>
      <c r="T146" s="343">
        <f t="shared" si="324"/>
        <v>0</v>
      </c>
      <c r="U146" s="343">
        <f t="shared" si="324"/>
        <v>0</v>
      </c>
      <c r="V146" s="343">
        <f t="shared" si="324"/>
        <v>0</v>
      </c>
      <c r="W146" s="343">
        <f t="shared" si="324"/>
        <v>0</v>
      </c>
      <c r="X146" s="343">
        <f t="shared" si="324"/>
        <v>0</v>
      </c>
      <c r="Y146" s="343">
        <f t="shared" si="324"/>
        <v>0</v>
      </c>
      <c r="Z146" s="343">
        <f t="shared" si="324"/>
        <v>0</v>
      </c>
      <c r="AA146" s="343">
        <f t="shared" si="324"/>
        <v>0</v>
      </c>
      <c r="AB146" s="343">
        <f t="shared" si="324"/>
        <v>0</v>
      </c>
      <c r="AC146" s="343">
        <f t="shared" si="324"/>
        <v>0</v>
      </c>
      <c r="AD146" s="343">
        <f t="shared" si="324"/>
        <v>0</v>
      </c>
      <c r="AE146" s="763">
        <f t="shared" si="324"/>
        <v>0</v>
      </c>
      <c r="AF146" s="767">
        <f t="shared" si="324"/>
        <v>0</v>
      </c>
      <c r="AG146" s="344">
        <f t="shared" si="324"/>
        <v>0</v>
      </c>
      <c r="AH146" s="344">
        <f t="shared" si="324"/>
        <v>0</v>
      </c>
      <c r="AI146" s="344">
        <f t="shared" si="324"/>
        <v>0</v>
      </c>
      <c r="AJ146" s="344">
        <f t="shared" si="324"/>
        <v>0</v>
      </c>
      <c r="AK146" s="344">
        <f t="shared" si="324"/>
        <v>0</v>
      </c>
      <c r="AL146" s="35">
        <f t="shared" si="324"/>
        <v>0</v>
      </c>
      <c r="AM146" s="346">
        <f t="shared" si="324"/>
        <v>14019902</v>
      </c>
      <c r="AN146" s="343">
        <f t="shared" si="324"/>
        <v>10400521</v>
      </c>
      <c r="AO146" s="343">
        <f t="shared" si="324"/>
        <v>0</v>
      </c>
      <c r="AP146" s="343">
        <f t="shared" si="324"/>
        <v>3515376</v>
      </c>
      <c r="AQ146" s="343">
        <f t="shared" si="324"/>
        <v>104005</v>
      </c>
      <c r="AR146" s="343">
        <f t="shared" si="324"/>
        <v>0</v>
      </c>
      <c r="AS146" s="344">
        <f t="shared" si="324"/>
        <v>17.11</v>
      </c>
    </row>
    <row r="147" spans="1:45" s="152" customFormat="1" ht="12.75" customHeight="1" x14ac:dyDescent="0.2">
      <c r="A147" s="140">
        <v>33</v>
      </c>
      <c r="B147" s="141">
        <v>4449</v>
      </c>
      <c r="C147" s="141">
        <v>650037090</v>
      </c>
      <c r="D147" s="141">
        <v>72744171</v>
      </c>
      <c r="E147" s="139" t="s">
        <v>203</v>
      </c>
      <c r="F147" s="141">
        <v>3111</v>
      </c>
      <c r="G147" s="117" t="s">
        <v>277</v>
      </c>
      <c r="H147" s="560" t="s">
        <v>262</v>
      </c>
      <c r="I147" s="580">
        <v>3011974</v>
      </c>
      <c r="J147" s="490">
        <v>2234402</v>
      </c>
      <c r="K147" s="490">
        <v>0</v>
      </c>
      <c r="L147" s="55">
        <v>755228</v>
      </c>
      <c r="M147" s="55">
        <v>22344</v>
      </c>
      <c r="N147" s="55">
        <v>0</v>
      </c>
      <c r="O147" s="614">
        <v>4</v>
      </c>
      <c r="P147" s="445">
        <f t="shared" ref="P147:P150" si="325">W147*-1</f>
        <v>0</v>
      </c>
      <c r="Q147" s="325">
        <v>0</v>
      </c>
      <c r="R147" s="325">
        <v>0</v>
      </c>
      <c r="S147" s="325">
        <v>0</v>
      </c>
      <c r="T147" s="325">
        <v>0</v>
      </c>
      <c r="U147" s="325">
        <v>0</v>
      </c>
      <c r="V147" s="492">
        <f t="shared" ref="V147:V150" si="326">P147+Q147+R147+S147+T147+U147</f>
        <v>0</v>
      </c>
      <c r="W147" s="325">
        <v>0</v>
      </c>
      <c r="X147" s="325">
        <v>0</v>
      </c>
      <c r="Y147" s="325">
        <v>0</v>
      </c>
      <c r="Z147" s="492">
        <f t="shared" ref="Z147:Z150" si="327">W147+X147+Y147</f>
        <v>0</v>
      </c>
      <c r="AA147" s="492">
        <f t="shared" ref="AA147:AA150" si="328">V147+Z147</f>
        <v>0</v>
      </c>
      <c r="AB147" s="494">
        <f t="shared" ref="AB147:AB150" si="329">ROUND((V147+Z147)*33.8%,0)</f>
        <v>0</v>
      </c>
      <c r="AC147" s="494">
        <f t="shared" ref="AC147:AC150" si="330">ROUND(V147*1%,0)</f>
        <v>0</v>
      </c>
      <c r="AD147" s="492">
        <v>0</v>
      </c>
      <c r="AE147" s="753">
        <f t="shared" ref="AE147:AE150" si="331">AA147+AB147+AC147+AD147</f>
        <v>0</v>
      </c>
      <c r="AF147" s="688">
        <v>0</v>
      </c>
      <c r="AG147" s="326">
        <v>0</v>
      </c>
      <c r="AH147" s="326">
        <v>0</v>
      </c>
      <c r="AI147" s="326">
        <v>0</v>
      </c>
      <c r="AJ147" s="326">
        <v>0</v>
      </c>
      <c r="AK147" s="326">
        <v>0</v>
      </c>
      <c r="AL147" s="609">
        <f t="shared" ref="AL147:AL150" si="332">SUM(AF147:AK147)</f>
        <v>0</v>
      </c>
      <c r="AM147" s="493">
        <f>I147+AE147</f>
        <v>3011974</v>
      </c>
      <c r="AN147" s="492">
        <f>J147+V147</f>
        <v>2234402</v>
      </c>
      <c r="AO147" s="573">
        <f t="shared" ref="AO147:AO150" si="333">K147+Z147</f>
        <v>0</v>
      </c>
      <c r="AP147" s="492">
        <f t="shared" ref="AP147:AQ150" si="334">L147+AB147</f>
        <v>755228</v>
      </c>
      <c r="AQ147" s="492">
        <f t="shared" si="334"/>
        <v>22344</v>
      </c>
      <c r="AR147" s="492">
        <v>0</v>
      </c>
      <c r="AS147" s="491">
        <f t="shared" ref="AS147:AS150" si="335">O147+AL147</f>
        <v>4</v>
      </c>
    </row>
    <row r="148" spans="1:45" s="152" customFormat="1" ht="12.75" customHeight="1" x14ac:dyDescent="0.2">
      <c r="A148" s="140">
        <v>33</v>
      </c>
      <c r="B148" s="141">
        <v>4449</v>
      </c>
      <c r="C148" s="141">
        <v>650037090</v>
      </c>
      <c r="D148" s="141">
        <v>72744171</v>
      </c>
      <c r="E148" s="139" t="s">
        <v>203</v>
      </c>
      <c r="F148" s="141">
        <v>3113</v>
      </c>
      <c r="G148" s="117" t="s">
        <v>280</v>
      </c>
      <c r="H148" s="560" t="s">
        <v>262</v>
      </c>
      <c r="I148" s="580">
        <v>11834454</v>
      </c>
      <c r="J148" s="490">
        <v>8613706</v>
      </c>
      <c r="K148" s="490">
        <v>166800</v>
      </c>
      <c r="L148" s="55">
        <v>2967811</v>
      </c>
      <c r="M148" s="55">
        <v>86137</v>
      </c>
      <c r="N148" s="55">
        <v>0</v>
      </c>
      <c r="O148" s="614">
        <v>12.14</v>
      </c>
      <c r="P148" s="440">
        <f t="shared" si="325"/>
        <v>0</v>
      </c>
      <c r="Q148" s="325">
        <v>0</v>
      </c>
      <c r="R148" s="325">
        <v>0</v>
      </c>
      <c r="S148" s="325">
        <v>0</v>
      </c>
      <c r="T148" s="325">
        <v>0</v>
      </c>
      <c r="U148" s="325">
        <v>0</v>
      </c>
      <c r="V148" s="492">
        <f t="shared" si="326"/>
        <v>0</v>
      </c>
      <c r="W148" s="325">
        <v>0</v>
      </c>
      <c r="X148" s="325">
        <v>0</v>
      </c>
      <c r="Y148" s="325">
        <v>0</v>
      </c>
      <c r="Z148" s="492">
        <f t="shared" si="327"/>
        <v>0</v>
      </c>
      <c r="AA148" s="492">
        <f t="shared" si="328"/>
        <v>0</v>
      </c>
      <c r="AB148" s="494">
        <f t="shared" si="329"/>
        <v>0</v>
      </c>
      <c r="AC148" s="494">
        <f t="shared" si="330"/>
        <v>0</v>
      </c>
      <c r="AD148" s="492">
        <v>0</v>
      </c>
      <c r="AE148" s="753">
        <f t="shared" si="331"/>
        <v>0</v>
      </c>
      <c r="AF148" s="688">
        <v>0</v>
      </c>
      <c r="AG148" s="326">
        <v>0</v>
      </c>
      <c r="AH148" s="326">
        <v>0</v>
      </c>
      <c r="AI148" s="326">
        <v>0</v>
      </c>
      <c r="AJ148" s="326">
        <v>0</v>
      </c>
      <c r="AK148" s="326">
        <v>0</v>
      </c>
      <c r="AL148" s="609">
        <f t="shared" si="332"/>
        <v>0</v>
      </c>
      <c r="AM148" s="493">
        <f>I148+AE148</f>
        <v>11834454</v>
      </c>
      <c r="AN148" s="492">
        <f>J148+V148</f>
        <v>8613706</v>
      </c>
      <c r="AO148" s="573">
        <f t="shared" si="333"/>
        <v>166800</v>
      </c>
      <c r="AP148" s="492">
        <f t="shared" si="334"/>
        <v>2967811</v>
      </c>
      <c r="AQ148" s="492">
        <f t="shared" si="334"/>
        <v>86137</v>
      </c>
      <c r="AR148" s="492">
        <v>0</v>
      </c>
      <c r="AS148" s="491">
        <f t="shared" si="335"/>
        <v>12.14</v>
      </c>
    </row>
    <row r="149" spans="1:45" s="152" customFormat="1" ht="12.75" customHeight="1" x14ac:dyDescent="0.2">
      <c r="A149" s="140">
        <v>33</v>
      </c>
      <c r="B149" s="141">
        <v>4449</v>
      </c>
      <c r="C149" s="141">
        <v>650037090</v>
      </c>
      <c r="D149" s="141">
        <v>72744171</v>
      </c>
      <c r="E149" s="139" t="s">
        <v>203</v>
      </c>
      <c r="F149" s="141">
        <v>3113</v>
      </c>
      <c r="G149" s="117" t="s">
        <v>278</v>
      </c>
      <c r="H149" s="560" t="s">
        <v>263</v>
      </c>
      <c r="I149" s="580">
        <v>2615323</v>
      </c>
      <c r="J149" s="490">
        <v>1940150</v>
      </c>
      <c r="K149" s="490">
        <v>0</v>
      </c>
      <c r="L149" s="55">
        <v>655771</v>
      </c>
      <c r="M149" s="55">
        <v>19402</v>
      </c>
      <c r="N149" s="55">
        <v>0</v>
      </c>
      <c r="O149" s="614">
        <v>4.8899999999999997</v>
      </c>
      <c r="P149" s="440">
        <f t="shared" si="325"/>
        <v>0</v>
      </c>
      <c r="Q149" s="325">
        <v>19868</v>
      </c>
      <c r="R149" s="325">
        <v>0</v>
      </c>
      <c r="S149" s="325">
        <v>0</v>
      </c>
      <c r="T149" s="325">
        <v>0</v>
      </c>
      <c r="U149" s="325">
        <v>0</v>
      </c>
      <c r="V149" s="492">
        <f t="shared" si="326"/>
        <v>19868</v>
      </c>
      <c r="W149" s="325">
        <v>0</v>
      </c>
      <c r="X149" s="325">
        <v>0</v>
      </c>
      <c r="Y149" s="325">
        <v>0</v>
      </c>
      <c r="Z149" s="492">
        <f t="shared" si="327"/>
        <v>0</v>
      </c>
      <c r="AA149" s="492">
        <f t="shared" si="328"/>
        <v>19868</v>
      </c>
      <c r="AB149" s="494">
        <f t="shared" si="329"/>
        <v>6715</v>
      </c>
      <c r="AC149" s="494">
        <f t="shared" si="330"/>
        <v>199</v>
      </c>
      <c r="AD149" s="492">
        <v>0</v>
      </c>
      <c r="AE149" s="753">
        <f t="shared" si="331"/>
        <v>26782</v>
      </c>
      <c r="AF149" s="688">
        <v>0</v>
      </c>
      <c r="AG149" s="326">
        <v>0.04</v>
      </c>
      <c r="AH149" s="326">
        <v>0</v>
      </c>
      <c r="AI149" s="326">
        <v>0</v>
      </c>
      <c r="AJ149" s="326">
        <v>0</v>
      </c>
      <c r="AK149" s="326">
        <v>0</v>
      </c>
      <c r="AL149" s="609">
        <f t="shared" si="332"/>
        <v>0.04</v>
      </c>
      <c r="AM149" s="493">
        <f>I149+AE149</f>
        <v>2642105</v>
      </c>
      <c r="AN149" s="492">
        <f>J149+V149</f>
        <v>1960018</v>
      </c>
      <c r="AO149" s="573">
        <f t="shared" si="333"/>
        <v>0</v>
      </c>
      <c r="AP149" s="492">
        <f t="shared" si="334"/>
        <v>662486</v>
      </c>
      <c r="AQ149" s="492">
        <f t="shared" si="334"/>
        <v>19601</v>
      </c>
      <c r="AR149" s="492">
        <v>0</v>
      </c>
      <c r="AS149" s="491">
        <f t="shared" si="335"/>
        <v>4.93</v>
      </c>
    </row>
    <row r="150" spans="1:45" s="152" customFormat="1" ht="12.75" customHeight="1" x14ac:dyDescent="0.2">
      <c r="A150" s="140">
        <v>33</v>
      </c>
      <c r="B150" s="141">
        <v>4449</v>
      </c>
      <c r="C150" s="141">
        <v>650037090</v>
      </c>
      <c r="D150" s="141">
        <v>72744171</v>
      </c>
      <c r="E150" s="139" t="s">
        <v>203</v>
      </c>
      <c r="F150" s="141">
        <v>3143</v>
      </c>
      <c r="G150" s="117" t="s">
        <v>795</v>
      </c>
      <c r="H150" s="157" t="s">
        <v>262</v>
      </c>
      <c r="I150" s="580">
        <v>1673950</v>
      </c>
      <c r="J150" s="490">
        <v>1241803</v>
      </c>
      <c r="K150" s="490">
        <v>0</v>
      </c>
      <c r="L150" s="55">
        <v>419729</v>
      </c>
      <c r="M150" s="55">
        <v>12418</v>
      </c>
      <c r="N150" s="55">
        <v>0</v>
      </c>
      <c r="O150" s="614">
        <v>2.5</v>
      </c>
      <c r="P150" s="440">
        <f t="shared" si="325"/>
        <v>0</v>
      </c>
      <c r="Q150" s="325">
        <v>0</v>
      </c>
      <c r="R150" s="325">
        <v>0</v>
      </c>
      <c r="S150" s="325">
        <v>0</v>
      </c>
      <c r="T150" s="325">
        <v>0</v>
      </c>
      <c r="U150" s="325">
        <v>0</v>
      </c>
      <c r="V150" s="492">
        <f t="shared" si="326"/>
        <v>0</v>
      </c>
      <c r="W150" s="325">
        <v>0</v>
      </c>
      <c r="X150" s="325">
        <v>0</v>
      </c>
      <c r="Y150" s="325">
        <v>0</v>
      </c>
      <c r="Z150" s="492">
        <f t="shared" si="327"/>
        <v>0</v>
      </c>
      <c r="AA150" s="492">
        <f t="shared" si="328"/>
        <v>0</v>
      </c>
      <c r="AB150" s="494">
        <f t="shared" si="329"/>
        <v>0</v>
      </c>
      <c r="AC150" s="494">
        <f t="shared" si="330"/>
        <v>0</v>
      </c>
      <c r="AD150" s="492">
        <v>0</v>
      </c>
      <c r="AE150" s="753">
        <f t="shared" si="331"/>
        <v>0</v>
      </c>
      <c r="AF150" s="688">
        <v>0</v>
      </c>
      <c r="AG150" s="326">
        <v>0</v>
      </c>
      <c r="AH150" s="326">
        <v>0</v>
      </c>
      <c r="AI150" s="326">
        <v>0</v>
      </c>
      <c r="AJ150" s="326">
        <v>0</v>
      </c>
      <c r="AK150" s="326">
        <v>0</v>
      </c>
      <c r="AL150" s="609">
        <f t="shared" si="332"/>
        <v>0</v>
      </c>
      <c r="AM150" s="493">
        <f>I150+AE150</f>
        <v>1673950</v>
      </c>
      <c r="AN150" s="492">
        <f>J150+V150</f>
        <v>1241803</v>
      </c>
      <c r="AO150" s="573">
        <f t="shared" si="333"/>
        <v>0</v>
      </c>
      <c r="AP150" s="492">
        <f t="shared" si="334"/>
        <v>419729</v>
      </c>
      <c r="AQ150" s="492">
        <f t="shared" si="334"/>
        <v>12418</v>
      </c>
      <c r="AR150" s="492">
        <v>0</v>
      </c>
      <c r="AS150" s="491">
        <f t="shared" si="335"/>
        <v>2.5</v>
      </c>
    </row>
    <row r="151" spans="1:45" s="152" customFormat="1" ht="12.75" customHeight="1" x14ac:dyDescent="0.2">
      <c r="A151" s="107">
        <v>33</v>
      </c>
      <c r="B151" s="15">
        <v>4449</v>
      </c>
      <c r="C151" s="15">
        <v>650037090</v>
      </c>
      <c r="D151" s="15">
        <v>72744171</v>
      </c>
      <c r="E151" s="116" t="s">
        <v>204</v>
      </c>
      <c r="F151" s="15"/>
      <c r="G151" s="106"/>
      <c r="H151" s="555"/>
      <c r="I151" s="758">
        <v>19135701</v>
      </c>
      <c r="J151" s="343">
        <v>14030061</v>
      </c>
      <c r="K151" s="343">
        <v>166800</v>
      </c>
      <c r="L151" s="343">
        <v>4798539</v>
      </c>
      <c r="M151" s="343">
        <v>140301</v>
      </c>
      <c r="N151" s="343">
        <v>0</v>
      </c>
      <c r="O151" s="35">
        <v>23.53</v>
      </c>
      <c r="P151" s="346">
        <f t="shared" ref="P151:AS151" si="336">SUM(P147:P150)</f>
        <v>0</v>
      </c>
      <c r="Q151" s="343">
        <f t="shared" si="336"/>
        <v>19868</v>
      </c>
      <c r="R151" s="343">
        <f t="shared" si="336"/>
        <v>0</v>
      </c>
      <c r="S151" s="343">
        <f t="shared" si="336"/>
        <v>0</v>
      </c>
      <c r="T151" s="343">
        <f t="shared" si="336"/>
        <v>0</v>
      </c>
      <c r="U151" s="343">
        <f t="shared" si="336"/>
        <v>0</v>
      </c>
      <c r="V151" s="343">
        <f t="shared" si="336"/>
        <v>19868</v>
      </c>
      <c r="W151" s="343">
        <f t="shared" si="336"/>
        <v>0</v>
      </c>
      <c r="X151" s="343">
        <f t="shared" si="336"/>
        <v>0</v>
      </c>
      <c r="Y151" s="343">
        <f t="shared" si="336"/>
        <v>0</v>
      </c>
      <c r="Z151" s="343">
        <f t="shared" si="336"/>
        <v>0</v>
      </c>
      <c r="AA151" s="343">
        <f t="shared" si="336"/>
        <v>19868</v>
      </c>
      <c r="AB151" s="343">
        <f t="shared" si="336"/>
        <v>6715</v>
      </c>
      <c r="AC151" s="343">
        <f t="shared" si="336"/>
        <v>199</v>
      </c>
      <c r="AD151" s="343">
        <f t="shared" si="336"/>
        <v>0</v>
      </c>
      <c r="AE151" s="763">
        <f t="shared" si="336"/>
        <v>26782</v>
      </c>
      <c r="AF151" s="767">
        <f t="shared" si="336"/>
        <v>0</v>
      </c>
      <c r="AG151" s="344">
        <f t="shared" si="336"/>
        <v>0.04</v>
      </c>
      <c r="AH151" s="344">
        <f t="shared" si="336"/>
        <v>0</v>
      </c>
      <c r="AI151" s="344">
        <f t="shared" si="336"/>
        <v>0</v>
      </c>
      <c r="AJ151" s="344">
        <f t="shared" si="336"/>
        <v>0</v>
      </c>
      <c r="AK151" s="344">
        <f t="shared" si="336"/>
        <v>0</v>
      </c>
      <c r="AL151" s="35">
        <f t="shared" si="336"/>
        <v>0.04</v>
      </c>
      <c r="AM151" s="346">
        <f t="shared" si="336"/>
        <v>19162483</v>
      </c>
      <c r="AN151" s="343">
        <f t="shared" si="336"/>
        <v>14049929</v>
      </c>
      <c r="AO151" s="343">
        <f t="shared" si="336"/>
        <v>166800</v>
      </c>
      <c r="AP151" s="343">
        <f t="shared" si="336"/>
        <v>4805254</v>
      </c>
      <c r="AQ151" s="343">
        <f t="shared" si="336"/>
        <v>140500</v>
      </c>
      <c r="AR151" s="343">
        <f t="shared" si="336"/>
        <v>0</v>
      </c>
      <c r="AS151" s="344">
        <f t="shared" si="336"/>
        <v>23.57</v>
      </c>
    </row>
    <row r="152" spans="1:45" s="152" customFormat="1" ht="12.75" customHeight="1" x14ac:dyDescent="0.2">
      <c r="A152" s="140">
        <v>34</v>
      </c>
      <c r="B152" s="141">
        <v>4401</v>
      </c>
      <c r="C152" s="141">
        <v>600074196</v>
      </c>
      <c r="D152" s="141">
        <v>71011129</v>
      </c>
      <c r="E152" s="139" t="s">
        <v>205</v>
      </c>
      <c r="F152" s="141">
        <v>3111</v>
      </c>
      <c r="G152" s="117" t="s">
        <v>277</v>
      </c>
      <c r="H152" s="560" t="s">
        <v>262</v>
      </c>
      <c r="I152" s="580">
        <v>3149455</v>
      </c>
      <c r="J152" s="490">
        <v>2336391</v>
      </c>
      <c r="K152" s="490">
        <v>0</v>
      </c>
      <c r="L152" s="55">
        <v>789700</v>
      </c>
      <c r="M152" s="55">
        <v>23364</v>
      </c>
      <c r="N152" s="55">
        <v>0</v>
      </c>
      <c r="O152" s="614">
        <v>4</v>
      </c>
      <c r="P152" s="445">
        <f>W152*-1</f>
        <v>0</v>
      </c>
      <c r="Q152" s="325">
        <v>0</v>
      </c>
      <c r="R152" s="325">
        <v>0</v>
      </c>
      <c r="S152" s="325">
        <v>0</v>
      </c>
      <c r="T152" s="325">
        <v>0</v>
      </c>
      <c r="U152" s="325">
        <v>0</v>
      </c>
      <c r="V152" s="492">
        <f t="shared" ref="V152:V153" si="337">P152+Q152+R152+S152+T152+U152</f>
        <v>0</v>
      </c>
      <c r="W152" s="325">
        <v>0</v>
      </c>
      <c r="X152" s="325">
        <v>0</v>
      </c>
      <c r="Y152" s="325">
        <v>0</v>
      </c>
      <c r="Z152" s="492">
        <f t="shared" ref="Z152:Z153" si="338">W152+X152+Y152</f>
        <v>0</v>
      </c>
      <c r="AA152" s="492">
        <f t="shared" ref="AA152:AA153" si="339">V152+Z152</f>
        <v>0</v>
      </c>
      <c r="AB152" s="494">
        <f t="shared" ref="AB152:AB153" si="340">ROUND((V152+Z152)*33.8%,0)</f>
        <v>0</v>
      </c>
      <c r="AC152" s="494">
        <f t="shared" ref="AC152:AC153" si="341">ROUND(V152*1%,0)</f>
        <v>0</v>
      </c>
      <c r="AD152" s="492">
        <v>0</v>
      </c>
      <c r="AE152" s="753">
        <f t="shared" ref="AE152:AE153" si="342">AA152+AB152+AC152+AD152</f>
        <v>0</v>
      </c>
      <c r="AF152" s="688">
        <v>0</v>
      </c>
      <c r="AG152" s="326">
        <v>0</v>
      </c>
      <c r="AH152" s="326">
        <v>0</v>
      </c>
      <c r="AI152" s="326">
        <v>0</v>
      </c>
      <c r="AJ152" s="326">
        <v>0</v>
      </c>
      <c r="AK152" s="326">
        <v>0</v>
      </c>
      <c r="AL152" s="609">
        <f t="shared" ref="AL152:AL153" si="343">SUM(AF152:AK152)</f>
        <v>0</v>
      </c>
      <c r="AM152" s="493">
        <f>I152+AE152</f>
        <v>3149455</v>
      </c>
      <c r="AN152" s="492">
        <f>J152+V152</f>
        <v>2336391</v>
      </c>
      <c r="AO152" s="573">
        <f t="shared" ref="AO152:AO153" si="344">K152+Z152</f>
        <v>0</v>
      </c>
      <c r="AP152" s="492">
        <f>L152+AB152</f>
        <v>789700</v>
      </c>
      <c r="AQ152" s="492">
        <f>M152+AC152</f>
        <v>23364</v>
      </c>
      <c r="AR152" s="492">
        <v>0</v>
      </c>
      <c r="AS152" s="491">
        <f t="shared" ref="AS152:AS153" si="345">O152+AL152</f>
        <v>4</v>
      </c>
    </row>
    <row r="153" spans="1:45" s="152" customFormat="1" ht="12.75" customHeight="1" x14ac:dyDescent="0.2">
      <c r="A153" s="140">
        <v>34</v>
      </c>
      <c r="B153" s="141">
        <v>4401</v>
      </c>
      <c r="C153" s="141">
        <v>600074196</v>
      </c>
      <c r="D153" s="141">
        <v>71011129</v>
      </c>
      <c r="E153" s="139" t="s">
        <v>205</v>
      </c>
      <c r="F153" s="141">
        <v>3111</v>
      </c>
      <c r="G153" s="117" t="s">
        <v>278</v>
      </c>
      <c r="H153" s="560" t="s">
        <v>263</v>
      </c>
      <c r="I153" s="580">
        <v>534949</v>
      </c>
      <c r="J153" s="490">
        <v>396847</v>
      </c>
      <c r="K153" s="490">
        <v>0</v>
      </c>
      <c r="L153" s="55">
        <v>134134</v>
      </c>
      <c r="M153" s="55">
        <v>3968</v>
      </c>
      <c r="N153" s="55">
        <v>0</v>
      </c>
      <c r="O153" s="614">
        <v>1</v>
      </c>
      <c r="P153" s="440">
        <f>W153*-1</f>
        <v>0</v>
      </c>
      <c r="Q153" s="325">
        <v>0</v>
      </c>
      <c r="R153" s="325">
        <v>0</v>
      </c>
      <c r="S153" s="325">
        <v>0</v>
      </c>
      <c r="T153" s="325">
        <v>0</v>
      </c>
      <c r="U153" s="325">
        <v>0</v>
      </c>
      <c r="V153" s="492">
        <f t="shared" si="337"/>
        <v>0</v>
      </c>
      <c r="W153" s="325">
        <v>0</v>
      </c>
      <c r="X153" s="325">
        <v>0</v>
      </c>
      <c r="Y153" s="325">
        <v>0</v>
      </c>
      <c r="Z153" s="492">
        <f t="shared" si="338"/>
        <v>0</v>
      </c>
      <c r="AA153" s="492">
        <f t="shared" si="339"/>
        <v>0</v>
      </c>
      <c r="AB153" s="494">
        <f t="shared" si="340"/>
        <v>0</v>
      </c>
      <c r="AC153" s="494">
        <f t="shared" si="341"/>
        <v>0</v>
      </c>
      <c r="AD153" s="492">
        <v>0</v>
      </c>
      <c r="AE153" s="753">
        <f t="shared" si="342"/>
        <v>0</v>
      </c>
      <c r="AF153" s="688">
        <v>0</v>
      </c>
      <c r="AG153" s="326">
        <v>0</v>
      </c>
      <c r="AH153" s="326">
        <v>0</v>
      </c>
      <c r="AI153" s="326">
        <v>0</v>
      </c>
      <c r="AJ153" s="326">
        <v>0</v>
      </c>
      <c r="AK153" s="326">
        <v>0</v>
      </c>
      <c r="AL153" s="609">
        <f t="shared" si="343"/>
        <v>0</v>
      </c>
      <c r="AM153" s="493">
        <f>I153+AE153</f>
        <v>534949</v>
      </c>
      <c r="AN153" s="492">
        <f>J153+V153</f>
        <v>396847</v>
      </c>
      <c r="AO153" s="573">
        <f t="shared" si="344"/>
        <v>0</v>
      </c>
      <c r="AP153" s="492">
        <f>L153+AB153</f>
        <v>134134</v>
      </c>
      <c r="AQ153" s="492">
        <f>M153+AC153</f>
        <v>3968</v>
      </c>
      <c r="AR153" s="492">
        <v>0</v>
      </c>
      <c r="AS153" s="491">
        <f t="shared" si="345"/>
        <v>1</v>
      </c>
    </row>
    <row r="154" spans="1:45" s="152" customFormat="1" ht="12.75" customHeight="1" x14ac:dyDescent="0.2">
      <c r="A154" s="107">
        <v>34</v>
      </c>
      <c r="B154" s="15">
        <v>4401</v>
      </c>
      <c r="C154" s="15">
        <v>600074196</v>
      </c>
      <c r="D154" s="15">
        <v>71011129</v>
      </c>
      <c r="E154" s="116" t="s">
        <v>206</v>
      </c>
      <c r="F154" s="15"/>
      <c r="G154" s="106"/>
      <c r="H154" s="555"/>
      <c r="I154" s="758">
        <v>3684404</v>
      </c>
      <c r="J154" s="343">
        <v>2733238</v>
      </c>
      <c r="K154" s="343">
        <v>0</v>
      </c>
      <c r="L154" s="343">
        <v>923834</v>
      </c>
      <c r="M154" s="343">
        <v>27332</v>
      </c>
      <c r="N154" s="343">
        <v>0</v>
      </c>
      <c r="O154" s="35">
        <v>5</v>
      </c>
      <c r="P154" s="346">
        <f t="shared" ref="P154:AS154" si="346">SUM(P152:P153)</f>
        <v>0</v>
      </c>
      <c r="Q154" s="343">
        <f t="shared" si="346"/>
        <v>0</v>
      </c>
      <c r="R154" s="343">
        <f t="shared" si="346"/>
        <v>0</v>
      </c>
      <c r="S154" s="343">
        <f t="shared" si="346"/>
        <v>0</v>
      </c>
      <c r="T154" s="343">
        <f t="shared" si="346"/>
        <v>0</v>
      </c>
      <c r="U154" s="343">
        <f t="shared" si="346"/>
        <v>0</v>
      </c>
      <c r="V154" s="343">
        <f t="shared" si="346"/>
        <v>0</v>
      </c>
      <c r="W154" s="343">
        <f t="shared" si="346"/>
        <v>0</v>
      </c>
      <c r="X154" s="343">
        <f t="shared" si="346"/>
        <v>0</v>
      </c>
      <c r="Y154" s="343">
        <f t="shared" si="346"/>
        <v>0</v>
      </c>
      <c r="Z154" s="343">
        <f t="shared" si="346"/>
        <v>0</v>
      </c>
      <c r="AA154" s="343">
        <f t="shared" si="346"/>
        <v>0</v>
      </c>
      <c r="AB154" s="343">
        <f t="shared" si="346"/>
        <v>0</v>
      </c>
      <c r="AC154" s="343">
        <f t="shared" si="346"/>
        <v>0</v>
      </c>
      <c r="AD154" s="343">
        <f t="shared" si="346"/>
        <v>0</v>
      </c>
      <c r="AE154" s="763">
        <f t="shared" si="346"/>
        <v>0</v>
      </c>
      <c r="AF154" s="767">
        <f t="shared" si="346"/>
        <v>0</v>
      </c>
      <c r="AG154" s="344">
        <f t="shared" si="346"/>
        <v>0</v>
      </c>
      <c r="AH154" s="344">
        <f t="shared" si="346"/>
        <v>0</v>
      </c>
      <c r="AI154" s="344">
        <f t="shared" si="346"/>
        <v>0</v>
      </c>
      <c r="AJ154" s="344">
        <f t="shared" si="346"/>
        <v>0</v>
      </c>
      <c r="AK154" s="344">
        <f t="shared" si="346"/>
        <v>0</v>
      </c>
      <c r="AL154" s="35">
        <f t="shared" si="346"/>
        <v>0</v>
      </c>
      <c r="AM154" s="346">
        <f t="shared" si="346"/>
        <v>3684404</v>
      </c>
      <c r="AN154" s="343">
        <f t="shared" si="346"/>
        <v>2733238</v>
      </c>
      <c r="AO154" s="343">
        <f t="shared" si="346"/>
        <v>0</v>
      </c>
      <c r="AP154" s="343">
        <f t="shared" si="346"/>
        <v>923834</v>
      </c>
      <c r="AQ154" s="343">
        <f t="shared" si="346"/>
        <v>27332</v>
      </c>
      <c r="AR154" s="343">
        <f t="shared" si="346"/>
        <v>0</v>
      </c>
      <c r="AS154" s="344">
        <f t="shared" si="346"/>
        <v>5</v>
      </c>
    </row>
    <row r="155" spans="1:45" s="152" customFormat="1" ht="12.75" customHeight="1" x14ac:dyDescent="0.2">
      <c r="A155" s="140">
        <v>35</v>
      </c>
      <c r="B155" s="141">
        <v>4453</v>
      </c>
      <c r="C155" s="141">
        <v>600074790</v>
      </c>
      <c r="D155" s="141">
        <v>71011111</v>
      </c>
      <c r="E155" s="139" t="s">
        <v>207</v>
      </c>
      <c r="F155" s="141">
        <v>3113</v>
      </c>
      <c r="G155" s="117" t="s">
        <v>280</v>
      </c>
      <c r="H155" s="560" t="s">
        <v>262</v>
      </c>
      <c r="I155" s="580">
        <v>11161040</v>
      </c>
      <c r="J155" s="490">
        <v>8267792</v>
      </c>
      <c r="K155" s="490">
        <v>12000</v>
      </c>
      <c r="L155" s="55">
        <v>2798570</v>
      </c>
      <c r="M155" s="55">
        <v>82678</v>
      </c>
      <c r="N155" s="55">
        <v>0</v>
      </c>
      <c r="O155" s="614">
        <v>11.67</v>
      </c>
      <c r="P155" s="445">
        <f>W155*-1</f>
        <v>-8000</v>
      </c>
      <c r="Q155" s="325">
        <v>0</v>
      </c>
      <c r="R155" s="325">
        <v>0</v>
      </c>
      <c r="S155" s="325">
        <v>0</v>
      </c>
      <c r="T155" s="325">
        <v>0</v>
      </c>
      <c r="U155" s="325">
        <v>0</v>
      </c>
      <c r="V155" s="492">
        <f t="shared" ref="V155:V157" si="347">P155+Q155+R155+S155+T155+U155</f>
        <v>-8000</v>
      </c>
      <c r="W155" s="325">
        <v>8000</v>
      </c>
      <c r="X155" s="325">
        <v>0</v>
      </c>
      <c r="Y155" s="325">
        <v>0</v>
      </c>
      <c r="Z155" s="492">
        <f t="shared" ref="Z155:Z157" si="348">W155+X155+Y155</f>
        <v>8000</v>
      </c>
      <c r="AA155" s="492">
        <f t="shared" ref="AA155:AA157" si="349">V155+Z155</f>
        <v>0</v>
      </c>
      <c r="AB155" s="494">
        <f t="shared" ref="AB155:AB157" si="350">ROUND((V155+Z155)*33.8%,0)</f>
        <v>0</v>
      </c>
      <c r="AC155" s="494">
        <f t="shared" ref="AC155:AC157" si="351">ROUND(V155*1%,0)</f>
        <v>-80</v>
      </c>
      <c r="AD155" s="492">
        <v>0</v>
      </c>
      <c r="AE155" s="753">
        <f t="shared" ref="AE155:AE157" si="352">AA155+AB155+AC155+AD155</f>
        <v>-80</v>
      </c>
      <c r="AF155" s="688">
        <v>-0.01</v>
      </c>
      <c r="AG155" s="326">
        <v>0</v>
      </c>
      <c r="AH155" s="326">
        <v>0</v>
      </c>
      <c r="AI155" s="326">
        <v>0</v>
      </c>
      <c r="AJ155" s="326">
        <v>0</v>
      </c>
      <c r="AK155" s="326">
        <v>0</v>
      </c>
      <c r="AL155" s="609">
        <f t="shared" ref="AL155:AL157" si="353">SUM(AF155:AK155)</f>
        <v>-0.01</v>
      </c>
      <c r="AM155" s="493">
        <f>I155+AE155</f>
        <v>11160960</v>
      </c>
      <c r="AN155" s="492">
        <f>J155+V155</f>
        <v>8259792</v>
      </c>
      <c r="AO155" s="573">
        <f t="shared" ref="AO155:AO157" si="354">K155+Z155</f>
        <v>20000</v>
      </c>
      <c r="AP155" s="492">
        <f t="shared" ref="AP155:AQ157" si="355">L155+AB155</f>
        <v>2798570</v>
      </c>
      <c r="AQ155" s="492">
        <f t="shared" si="355"/>
        <v>82598</v>
      </c>
      <c r="AR155" s="492">
        <v>0</v>
      </c>
      <c r="AS155" s="491">
        <f t="shared" ref="AS155:AS157" si="356">O155+AL155</f>
        <v>11.66</v>
      </c>
    </row>
    <row r="156" spans="1:45" s="152" customFormat="1" ht="12.75" customHeight="1" x14ac:dyDescent="0.2">
      <c r="A156" s="140">
        <v>35</v>
      </c>
      <c r="B156" s="141">
        <v>4453</v>
      </c>
      <c r="C156" s="141">
        <v>600074790</v>
      </c>
      <c r="D156" s="141">
        <v>71011111</v>
      </c>
      <c r="E156" s="139" t="s">
        <v>207</v>
      </c>
      <c r="F156" s="141">
        <v>3113</v>
      </c>
      <c r="G156" s="117" t="s">
        <v>278</v>
      </c>
      <c r="H156" s="560" t="s">
        <v>263</v>
      </c>
      <c r="I156" s="580">
        <v>245186</v>
      </c>
      <c r="J156" s="490">
        <v>181889</v>
      </c>
      <c r="K156" s="490">
        <v>0</v>
      </c>
      <c r="L156" s="55">
        <v>61478</v>
      </c>
      <c r="M156" s="55">
        <v>1819</v>
      </c>
      <c r="N156" s="55">
        <v>0</v>
      </c>
      <c r="O156" s="614">
        <v>0.46</v>
      </c>
      <c r="P156" s="440">
        <f>W156*-1</f>
        <v>0</v>
      </c>
      <c r="Q156" s="325">
        <v>0</v>
      </c>
      <c r="R156" s="325">
        <v>0</v>
      </c>
      <c r="S156" s="325">
        <v>0</v>
      </c>
      <c r="T156" s="325">
        <v>0</v>
      </c>
      <c r="U156" s="325">
        <v>0</v>
      </c>
      <c r="V156" s="492">
        <f t="shared" si="347"/>
        <v>0</v>
      </c>
      <c r="W156" s="325">
        <v>0</v>
      </c>
      <c r="X156" s="325">
        <v>0</v>
      </c>
      <c r="Y156" s="325">
        <v>0</v>
      </c>
      <c r="Z156" s="492">
        <f t="shared" si="348"/>
        <v>0</v>
      </c>
      <c r="AA156" s="492">
        <f t="shared" si="349"/>
        <v>0</v>
      </c>
      <c r="AB156" s="494">
        <f t="shared" si="350"/>
        <v>0</v>
      </c>
      <c r="AC156" s="494">
        <f t="shared" si="351"/>
        <v>0</v>
      </c>
      <c r="AD156" s="492">
        <v>0</v>
      </c>
      <c r="AE156" s="753">
        <f t="shared" si="352"/>
        <v>0</v>
      </c>
      <c r="AF156" s="688">
        <v>0</v>
      </c>
      <c r="AG156" s="326">
        <v>0</v>
      </c>
      <c r="AH156" s="326">
        <v>0</v>
      </c>
      <c r="AI156" s="326">
        <v>0</v>
      </c>
      <c r="AJ156" s="326">
        <v>0</v>
      </c>
      <c r="AK156" s="326">
        <v>0</v>
      </c>
      <c r="AL156" s="609">
        <f t="shared" si="353"/>
        <v>0</v>
      </c>
      <c r="AM156" s="493">
        <f>I156+AE156</f>
        <v>245186</v>
      </c>
      <c r="AN156" s="492">
        <f>J156+V156</f>
        <v>181889</v>
      </c>
      <c r="AO156" s="573">
        <f t="shared" si="354"/>
        <v>0</v>
      </c>
      <c r="AP156" s="492">
        <f t="shared" si="355"/>
        <v>61478</v>
      </c>
      <c r="AQ156" s="492">
        <f t="shared" si="355"/>
        <v>1819</v>
      </c>
      <c r="AR156" s="492">
        <v>0</v>
      </c>
      <c r="AS156" s="491">
        <f t="shared" si="356"/>
        <v>0.46</v>
      </c>
    </row>
    <row r="157" spans="1:45" s="152" customFormat="1" ht="12.75" customHeight="1" x14ac:dyDescent="0.2">
      <c r="A157" s="140">
        <v>35</v>
      </c>
      <c r="B157" s="141">
        <v>4453</v>
      </c>
      <c r="C157" s="141">
        <v>600074790</v>
      </c>
      <c r="D157" s="141">
        <v>71011111</v>
      </c>
      <c r="E157" s="135" t="s">
        <v>207</v>
      </c>
      <c r="F157" s="141">
        <v>3143</v>
      </c>
      <c r="G157" s="117" t="s">
        <v>795</v>
      </c>
      <c r="H157" s="157" t="s">
        <v>262</v>
      </c>
      <c r="I157" s="580">
        <v>795130</v>
      </c>
      <c r="J157" s="490">
        <v>589859</v>
      </c>
      <c r="K157" s="490">
        <v>0</v>
      </c>
      <c r="L157" s="55">
        <v>199372</v>
      </c>
      <c r="M157" s="55">
        <v>5899</v>
      </c>
      <c r="N157" s="55">
        <v>0</v>
      </c>
      <c r="O157" s="614">
        <v>1.29</v>
      </c>
      <c r="P157" s="440">
        <f>W157*-1</f>
        <v>0</v>
      </c>
      <c r="Q157" s="325">
        <v>0</v>
      </c>
      <c r="R157" s="325">
        <v>0</v>
      </c>
      <c r="S157" s="325">
        <v>0</v>
      </c>
      <c r="T157" s="325">
        <v>0</v>
      </c>
      <c r="U157" s="325">
        <v>0</v>
      </c>
      <c r="V157" s="492">
        <f t="shared" si="347"/>
        <v>0</v>
      </c>
      <c r="W157" s="325">
        <v>0</v>
      </c>
      <c r="X157" s="325">
        <v>0</v>
      </c>
      <c r="Y157" s="325">
        <v>0</v>
      </c>
      <c r="Z157" s="492">
        <f t="shared" si="348"/>
        <v>0</v>
      </c>
      <c r="AA157" s="492">
        <f t="shared" si="349"/>
        <v>0</v>
      </c>
      <c r="AB157" s="494">
        <f t="shared" si="350"/>
        <v>0</v>
      </c>
      <c r="AC157" s="494">
        <f t="shared" si="351"/>
        <v>0</v>
      </c>
      <c r="AD157" s="492">
        <v>0</v>
      </c>
      <c r="AE157" s="753">
        <f t="shared" si="352"/>
        <v>0</v>
      </c>
      <c r="AF157" s="688">
        <v>0</v>
      </c>
      <c r="AG157" s="326">
        <v>0</v>
      </c>
      <c r="AH157" s="326">
        <v>0</v>
      </c>
      <c r="AI157" s="326">
        <v>0</v>
      </c>
      <c r="AJ157" s="326">
        <v>0</v>
      </c>
      <c r="AK157" s="326">
        <v>0</v>
      </c>
      <c r="AL157" s="609">
        <f t="shared" si="353"/>
        <v>0</v>
      </c>
      <c r="AM157" s="493">
        <f>I157+AE157</f>
        <v>795130</v>
      </c>
      <c r="AN157" s="492">
        <f>J157+V157</f>
        <v>589859</v>
      </c>
      <c r="AO157" s="573">
        <f t="shared" si="354"/>
        <v>0</v>
      </c>
      <c r="AP157" s="492">
        <f t="shared" si="355"/>
        <v>199372</v>
      </c>
      <c r="AQ157" s="492">
        <f t="shared" si="355"/>
        <v>5899</v>
      </c>
      <c r="AR157" s="492">
        <v>0</v>
      </c>
      <c r="AS157" s="491">
        <f t="shared" si="356"/>
        <v>1.29</v>
      </c>
    </row>
    <row r="158" spans="1:45" s="152" customFormat="1" ht="12.75" customHeight="1" x14ac:dyDescent="0.2">
      <c r="A158" s="107">
        <v>35</v>
      </c>
      <c r="B158" s="15">
        <v>4453</v>
      </c>
      <c r="C158" s="15">
        <v>600074790</v>
      </c>
      <c r="D158" s="15">
        <v>71011111</v>
      </c>
      <c r="E158" s="116" t="s">
        <v>208</v>
      </c>
      <c r="F158" s="15"/>
      <c r="G158" s="106"/>
      <c r="H158" s="555"/>
      <c r="I158" s="758">
        <v>12201356</v>
      </c>
      <c r="J158" s="343">
        <v>9039540</v>
      </c>
      <c r="K158" s="343">
        <v>12000</v>
      </c>
      <c r="L158" s="343">
        <v>3059420</v>
      </c>
      <c r="M158" s="343">
        <v>90396</v>
      </c>
      <c r="N158" s="343">
        <v>0</v>
      </c>
      <c r="O158" s="35">
        <v>13.420000000000002</v>
      </c>
      <c r="P158" s="346">
        <f t="shared" ref="P158:AS158" si="357">SUM(P155:P157)</f>
        <v>-8000</v>
      </c>
      <c r="Q158" s="343">
        <f t="shared" si="357"/>
        <v>0</v>
      </c>
      <c r="R158" s="343">
        <f t="shared" si="357"/>
        <v>0</v>
      </c>
      <c r="S158" s="343">
        <f t="shared" si="357"/>
        <v>0</v>
      </c>
      <c r="T158" s="343">
        <f t="shared" si="357"/>
        <v>0</v>
      </c>
      <c r="U158" s="343">
        <f t="shared" si="357"/>
        <v>0</v>
      </c>
      <c r="V158" s="343">
        <f t="shared" si="357"/>
        <v>-8000</v>
      </c>
      <c r="W158" s="343">
        <f t="shared" si="357"/>
        <v>8000</v>
      </c>
      <c r="X158" s="343">
        <f t="shared" si="357"/>
        <v>0</v>
      </c>
      <c r="Y158" s="343">
        <f t="shared" si="357"/>
        <v>0</v>
      </c>
      <c r="Z158" s="343">
        <f t="shared" si="357"/>
        <v>8000</v>
      </c>
      <c r="AA158" s="343">
        <f t="shared" si="357"/>
        <v>0</v>
      </c>
      <c r="AB158" s="343">
        <f t="shared" si="357"/>
        <v>0</v>
      </c>
      <c r="AC158" s="343">
        <f t="shared" si="357"/>
        <v>-80</v>
      </c>
      <c r="AD158" s="343">
        <f t="shared" si="357"/>
        <v>0</v>
      </c>
      <c r="AE158" s="763">
        <f t="shared" si="357"/>
        <v>-80</v>
      </c>
      <c r="AF158" s="767">
        <f t="shared" si="357"/>
        <v>-0.01</v>
      </c>
      <c r="AG158" s="344">
        <f t="shared" si="357"/>
        <v>0</v>
      </c>
      <c r="AH158" s="344">
        <f t="shared" si="357"/>
        <v>0</v>
      </c>
      <c r="AI158" s="344">
        <f t="shared" si="357"/>
        <v>0</v>
      </c>
      <c r="AJ158" s="344">
        <f t="shared" si="357"/>
        <v>0</v>
      </c>
      <c r="AK158" s="344">
        <f t="shared" si="357"/>
        <v>0</v>
      </c>
      <c r="AL158" s="35">
        <f t="shared" si="357"/>
        <v>-0.01</v>
      </c>
      <c r="AM158" s="346">
        <f t="shared" si="357"/>
        <v>12201276</v>
      </c>
      <c r="AN158" s="343">
        <f t="shared" si="357"/>
        <v>9031540</v>
      </c>
      <c r="AO158" s="343">
        <f t="shared" si="357"/>
        <v>20000</v>
      </c>
      <c r="AP158" s="343">
        <f t="shared" si="357"/>
        <v>3059420</v>
      </c>
      <c r="AQ158" s="343">
        <f t="shared" si="357"/>
        <v>90316</v>
      </c>
      <c r="AR158" s="343">
        <f t="shared" si="357"/>
        <v>0</v>
      </c>
      <c r="AS158" s="344">
        <f t="shared" si="357"/>
        <v>13.41</v>
      </c>
    </row>
    <row r="159" spans="1:45" s="152" customFormat="1" ht="12.75" customHeight="1" x14ac:dyDescent="0.2">
      <c r="A159" s="140">
        <v>36</v>
      </c>
      <c r="B159" s="141">
        <v>4467</v>
      </c>
      <c r="C159" s="141">
        <v>600074935</v>
      </c>
      <c r="D159" s="141">
        <v>48282545</v>
      </c>
      <c r="E159" s="139" t="s">
        <v>772</v>
      </c>
      <c r="F159" s="141">
        <v>3111</v>
      </c>
      <c r="G159" s="117" t="s">
        <v>277</v>
      </c>
      <c r="H159" s="560" t="s">
        <v>262</v>
      </c>
      <c r="I159" s="580">
        <v>16552344</v>
      </c>
      <c r="J159" s="490">
        <v>12279187</v>
      </c>
      <c r="K159" s="490">
        <v>0</v>
      </c>
      <c r="L159" s="55">
        <v>4150365</v>
      </c>
      <c r="M159" s="55">
        <v>122792</v>
      </c>
      <c r="N159" s="55">
        <v>0</v>
      </c>
      <c r="O159" s="614">
        <v>20.23</v>
      </c>
      <c r="P159" s="445">
        <f t="shared" ref="P159:P165" si="358">W159*-1</f>
        <v>0</v>
      </c>
      <c r="Q159" s="325">
        <v>0</v>
      </c>
      <c r="R159" s="325">
        <v>0</v>
      </c>
      <c r="S159" s="325">
        <v>0</v>
      </c>
      <c r="T159" s="325">
        <v>0</v>
      </c>
      <c r="U159" s="325">
        <v>0</v>
      </c>
      <c r="V159" s="492">
        <f t="shared" ref="V159:V165" si="359">P159+Q159+R159+S159+T159+U159</f>
        <v>0</v>
      </c>
      <c r="W159" s="325">
        <v>0</v>
      </c>
      <c r="X159" s="325">
        <v>0</v>
      </c>
      <c r="Y159" s="325">
        <v>0</v>
      </c>
      <c r="Z159" s="492">
        <f t="shared" ref="Z159:Z165" si="360">W159+X159+Y159</f>
        <v>0</v>
      </c>
      <c r="AA159" s="492">
        <f t="shared" ref="AA159:AA165" si="361">V159+Z159</f>
        <v>0</v>
      </c>
      <c r="AB159" s="494">
        <f t="shared" ref="AB159:AB165" si="362">ROUND((V159+Z159)*33.8%,0)</f>
        <v>0</v>
      </c>
      <c r="AC159" s="494">
        <f t="shared" ref="AC159:AC165" si="363">ROUND(V159*1%,0)</f>
        <v>0</v>
      </c>
      <c r="AD159" s="492">
        <v>0</v>
      </c>
      <c r="AE159" s="753">
        <f t="shared" ref="AE159:AE165" si="364">AA159+AB159+AC159+AD159</f>
        <v>0</v>
      </c>
      <c r="AF159" s="688">
        <v>0</v>
      </c>
      <c r="AG159" s="326">
        <v>0</v>
      </c>
      <c r="AH159" s="326">
        <v>0</v>
      </c>
      <c r="AI159" s="326">
        <v>0</v>
      </c>
      <c r="AJ159" s="326">
        <v>0</v>
      </c>
      <c r="AK159" s="326">
        <v>0</v>
      </c>
      <c r="AL159" s="609">
        <f t="shared" ref="AL159:AL165" si="365">SUM(AF159:AK159)</f>
        <v>0</v>
      </c>
      <c r="AM159" s="493">
        <f t="shared" ref="AM159:AM165" si="366">I159+AE159</f>
        <v>16552344</v>
      </c>
      <c r="AN159" s="492">
        <f t="shared" ref="AN159:AN165" si="367">J159+V159</f>
        <v>12279187</v>
      </c>
      <c r="AO159" s="573">
        <f t="shared" ref="AO159:AO165" si="368">K159+Z159</f>
        <v>0</v>
      </c>
      <c r="AP159" s="492">
        <f t="shared" ref="AP159:AQ165" si="369">L159+AB159</f>
        <v>4150365</v>
      </c>
      <c r="AQ159" s="492">
        <f t="shared" si="369"/>
        <v>122792</v>
      </c>
      <c r="AR159" s="492">
        <v>0</v>
      </c>
      <c r="AS159" s="491">
        <f t="shared" ref="AS159:AS165" si="370">O159+AL159</f>
        <v>20.23</v>
      </c>
    </row>
    <row r="160" spans="1:45" s="152" customFormat="1" ht="12.75" customHeight="1" x14ac:dyDescent="0.2">
      <c r="A160" s="140">
        <v>36</v>
      </c>
      <c r="B160" s="141">
        <v>4467</v>
      </c>
      <c r="C160" s="141">
        <v>600074935</v>
      </c>
      <c r="D160" s="141">
        <v>48282545</v>
      </c>
      <c r="E160" s="139" t="s">
        <v>772</v>
      </c>
      <c r="F160" s="141">
        <v>3113</v>
      </c>
      <c r="G160" s="117" t="s">
        <v>280</v>
      </c>
      <c r="H160" s="560" t="s">
        <v>262</v>
      </c>
      <c r="I160" s="580">
        <v>50224710</v>
      </c>
      <c r="J160" s="490">
        <v>37190200</v>
      </c>
      <c r="K160" s="490">
        <v>69000</v>
      </c>
      <c r="L160" s="55">
        <v>12593609</v>
      </c>
      <c r="M160" s="55">
        <v>371901</v>
      </c>
      <c r="N160" s="55">
        <v>0</v>
      </c>
      <c r="O160" s="614">
        <v>51.93</v>
      </c>
      <c r="P160" s="440">
        <f t="shared" si="358"/>
        <v>-46000</v>
      </c>
      <c r="Q160" s="325">
        <v>0</v>
      </c>
      <c r="R160" s="325">
        <v>0</v>
      </c>
      <c r="S160" s="325">
        <v>0</v>
      </c>
      <c r="T160" s="325">
        <v>0</v>
      </c>
      <c r="U160" s="325">
        <v>0</v>
      </c>
      <c r="V160" s="492">
        <f t="shared" si="359"/>
        <v>-46000</v>
      </c>
      <c r="W160" s="325">
        <v>46000</v>
      </c>
      <c r="X160" s="325">
        <v>0</v>
      </c>
      <c r="Y160" s="325">
        <v>0</v>
      </c>
      <c r="Z160" s="492">
        <f t="shared" si="360"/>
        <v>46000</v>
      </c>
      <c r="AA160" s="492">
        <f t="shared" si="361"/>
        <v>0</v>
      </c>
      <c r="AB160" s="494">
        <f t="shared" si="362"/>
        <v>0</v>
      </c>
      <c r="AC160" s="494">
        <f t="shared" si="363"/>
        <v>-460</v>
      </c>
      <c r="AD160" s="492">
        <v>0</v>
      </c>
      <c r="AE160" s="753">
        <f t="shared" si="364"/>
        <v>-460</v>
      </c>
      <c r="AF160" s="688">
        <v>-0.08</v>
      </c>
      <c r="AG160" s="326">
        <v>0</v>
      </c>
      <c r="AH160" s="326">
        <v>0</v>
      </c>
      <c r="AI160" s="326">
        <v>0</v>
      </c>
      <c r="AJ160" s="326">
        <v>0</v>
      </c>
      <c r="AK160" s="326">
        <v>0</v>
      </c>
      <c r="AL160" s="609">
        <f t="shared" si="365"/>
        <v>-0.08</v>
      </c>
      <c r="AM160" s="493">
        <f t="shared" si="366"/>
        <v>50224250</v>
      </c>
      <c r="AN160" s="492">
        <f t="shared" si="367"/>
        <v>37144200</v>
      </c>
      <c r="AO160" s="573">
        <f t="shared" si="368"/>
        <v>115000</v>
      </c>
      <c r="AP160" s="492">
        <f t="shared" si="369"/>
        <v>12593609</v>
      </c>
      <c r="AQ160" s="492">
        <f t="shared" si="369"/>
        <v>371441</v>
      </c>
      <c r="AR160" s="492">
        <v>0</v>
      </c>
      <c r="AS160" s="491">
        <f t="shared" si="370"/>
        <v>51.85</v>
      </c>
    </row>
    <row r="161" spans="1:45" s="152" customFormat="1" ht="12.75" customHeight="1" x14ac:dyDescent="0.2">
      <c r="A161" s="140">
        <v>36</v>
      </c>
      <c r="B161" s="141">
        <v>4467</v>
      </c>
      <c r="C161" s="141">
        <v>600074935</v>
      </c>
      <c r="D161" s="141">
        <v>48282545</v>
      </c>
      <c r="E161" s="139" t="s">
        <v>772</v>
      </c>
      <c r="F161" s="141">
        <v>3113</v>
      </c>
      <c r="G161" s="117" t="s">
        <v>799</v>
      </c>
      <c r="H161" s="560" t="s">
        <v>262</v>
      </c>
      <c r="I161" s="580">
        <v>371263</v>
      </c>
      <c r="J161" s="490">
        <v>275418</v>
      </c>
      <c r="K161" s="490">
        <v>0</v>
      </c>
      <c r="L161" s="55">
        <v>93091</v>
      </c>
      <c r="M161" s="55">
        <v>2754</v>
      </c>
      <c r="N161" s="55">
        <v>0</v>
      </c>
      <c r="O161" s="614">
        <v>0.5</v>
      </c>
      <c r="P161" s="440">
        <f t="shared" si="358"/>
        <v>0</v>
      </c>
      <c r="Q161" s="325">
        <v>0</v>
      </c>
      <c r="R161" s="325">
        <v>0</v>
      </c>
      <c r="S161" s="325">
        <v>0</v>
      </c>
      <c r="T161" s="325">
        <v>0</v>
      </c>
      <c r="U161" s="325">
        <v>0</v>
      </c>
      <c r="V161" s="492">
        <f t="shared" si="359"/>
        <v>0</v>
      </c>
      <c r="W161" s="325">
        <v>0</v>
      </c>
      <c r="X161" s="325">
        <v>0</v>
      </c>
      <c r="Y161" s="325">
        <v>0</v>
      </c>
      <c r="Z161" s="492">
        <f t="shared" si="360"/>
        <v>0</v>
      </c>
      <c r="AA161" s="492">
        <f t="shared" si="361"/>
        <v>0</v>
      </c>
      <c r="AB161" s="494">
        <f t="shared" si="362"/>
        <v>0</v>
      </c>
      <c r="AC161" s="494">
        <f t="shared" si="363"/>
        <v>0</v>
      </c>
      <c r="AD161" s="492">
        <v>0</v>
      </c>
      <c r="AE161" s="753">
        <f t="shared" si="364"/>
        <v>0</v>
      </c>
      <c r="AF161" s="688">
        <v>0</v>
      </c>
      <c r="AG161" s="326">
        <v>0</v>
      </c>
      <c r="AH161" s="326">
        <v>0</v>
      </c>
      <c r="AI161" s="326">
        <v>0</v>
      </c>
      <c r="AJ161" s="326">
        <v>0</v>
      </c>
      <c r="AK161" s="326">
        <v>0</v>
      </c>
      <c r="AL161" s="609">
        <f t="shared" si="365"/>
        <v>0</v>
      </c>
      <c r="AM161" s="493">
        <f t="shared" si="366"/>
        <v>371263</v>
      </c>
      <c r="AN161" s="492">
        <f t="shared" si="367"/>
        <v>275418</v>
      </c>
      <c r="AO161" s="573">
        <f t="shared" si="368"/>
        <v>0</v>
      </c>
      <c r="AP161" s="492">
        <f t="shared" si="369"/>
        <v>93091</v>
      </c>
      <c r="AQ161" s="492">
        <f t="shared" si="369"/>
        <v>2754</v>
      </c>
      <c r="AR161" s="492">
        <v>0</v>
      </c>
      <c r="AS161" s="491">
        <f t="shared" si="370"/>
        <v>0.5</v>
      </c>
    </row>
    <row r="162" spans="1:45" s="152" customFormat="1" ht="12.75" customHeight="1" x14ac:dyDescent="0.2">
      <c r="A162" s="140">
        <v>36</v>
      </c>
      <c r="B162" s="141">
        <v>4467</v>
      </c>
      <c r="C162" s="141">
        <v>600074935</v>
      </c>
      <c r="D162" s="141">
        <v>48282545</v>
      </c>
      <c r="E162" s="139" t="s">
        <v>772</v>
      </c>
      <c r="F162" s="141">
        <v>3113</v>
      </c>
      <c r="G162" s="117" t="s">
        <v>279</v>
      </c>
      <c r="H162" s="560" t="s">
        <v>262</v>
      </c>
      <c r="I162" s="580">
        <v>2396157</v>
      </c>
      <c r="J162" s="490">
        <v>1777564</v>
      </c>
      <c r="K162" s="490">
        <v>0</v>
      </c>
      <c r="L162" s="55">
        <v>600817</v>
      </c>
      <c r="M162" s="55">
        <v>17776</v>
      </c>
      <c r="N162" s="55">
        <v>0</v>
      </c>
      <c r="O162" s="614">
        <v>3.92</v>
      </c>
      <c r="P162" s="440">
        <f t="shared" si="358"/>
        <v>0</v>
      </c>
      <c r="Q162" s="325">
        <v>0</v>
      </c>
      <c r="R162" s="325">
        <v>0</v>
      </c>
      <c r="S162" s="325">
        <v>0</v>
      </c>
      <c r="T162" s="325">
        <v>0</v>
      </c>
      <c r="U162" s="325">
        <v>0</v>
      </c>
      <c r="V162" s="492">
        <f t="shared" si="359"/>
        <v>0</v>
      </c>
      <c r="W162" s="325">
        <v>0</v>
      </c>
      <c r="X162" s="325">
        <v>0</v>
      </c>
      <c r="Y162" s="325">
        <v>0</v>
      </c>
      <c r="Z162" s="492">
        <f t="shared" si="360"/>
        <v>0</v>
      </c>
      <c r="AA162" s="492">
        <f t="shared" si="361"/>
        <v>0</v>
      </c>
      <c r="AB162" s="494">
        <f t="shared" si="362"/>
        <v>0</v>
      </c>
      <c r="AC162" s="494">
        <f t="shared" si="363"/>
        <v>0</v>
      </c>
      <c r="AD162" s="492">
        <v>0</v>
      </c>
      <c r="AE162" s="753">
        <f t="shared" si="364"/>
        <v>0</v>
      </c>
      <c r="AF162" s="688">
        <v>0</v>
      </c>
      <c r="AG162" s="326">
        <v>0</v>
      </c>
      <c r="AH162" s="326">
        <v>0</v>
      </c>
      <c r="AI162" s="326">
        <v>0</v>
      </c>
      <c r="AJ162" s="326">
        <v>0</v>
      </c>
      <c r="AK162" s="326">
        <v>0</v>
      </c>
      <c r="AL162" s="609">
        <f t="shared" si="365"/>
        <v>0</v>
      </c>
      <c r="AM162" s="493">
        <f t="shared" si="366"/>
        <v>2396157</v>
      </c>
      <c r="AN162" s="492">
        <f t="shared" si="367"/>
        <v>1777564</v>
      </c>
      <c r="AO162" s="573">
        <f t="shared" si="368"/>
        <v>0</v>
      </c>
      <c r="AP162" s="492">
        <f t="shared" si="369"/>
        <v>600817</v>
      </c>
      <c r="AQ162" s="492">
        <f t="shared" si="369"/>
        <v>17776</v>
      </c>
      <c r="AR162" s="492">
        <v>0</v>
      </c>
      <c r="AS162" s="491">
        <f t="shared" si="370"/>
        <v>3.92</v>
      </c>
    </row>
    <row r="163" spans="1:45" s="152" customFormat="1" ht="12.75" customHeight="1" x14ac:dyDescent="0.2">
      <c r="A163" s="140">
        <v>36</v>
      </c>
      <c r="B163" s="141">
        <v>4467</v>
      </c>
      <c r="C163" s="141">
        <v>600074935</v>
      </c>
      <c r="D163" s="141">
        <v>48282545</v>
      </c>
      <c r="E163" s="139" t="s">
        <v>772</v>
      </c>
      <c r="F163" s="141">
        <v>3113</v>
      </c>
      <c r="G163" s="117" t="s">
        <v>278</v>
      </c>
      <c r="H163" s="560" t="s">
        <v>263</v>
      </c>
      <c r="I163" s="580">
        <v>8123878</v>
      </c>
      <c r="J163" s="490">
        <v>6026616</v>
      </c>
      <c r="K163" s="490">
        <v>0</v>
      </c>
      <c r="L163" s="55">
        <v>2036996</v>
      </c>
      <c r="M163" s="55">
        <v>60266</v>
      </c>
      <c r="N163" s="55">
        <v>0</v>
      </c>
      <c r="O163" s="614">
        <v>15.18</v>
      </c>
      <c r="P163" s="440">
        <f t="shared" si="358"/>
        <v>0</v>
      </c>
      <c r="Q163" s="325">
        <v>0</v>
      </c>
      <c r="R163" s="325">
        <v>0</v>
      </c>
      <c r="S163" s="325">
        <v>0</v>
      </c>
      <c r="T163" s="325">
        <v>0</v>
      </c>
      <c r="U163" s="325">
        <v>0</v>
      </c>
      <c r="V163" s="492">
        <f t="shared" si="359"/>
        <v>0</v>
      </c>
      <c r="W163" s="325">
        <v>0</v>
      </c>
      <c r="X163" s="325">
        <v>0</v>
      </c>
      <c r="Y163" s="325">
        <v>0</v>
      </c>
      <c r="Z163" s="492">
        <f t="shared" si="360"/>
        <v>0</v>
      </c>
      <c r="AA163" s="492">
        <f t="shared" si="361"/>
        <v>0</v>
      </c>
      <c r="AB163" s="494">
        <f t="shared" si="362"/>
        <v>0</v>
      </c>
      <c r="AC163" s="494">
        <f t="shared" si="363"/>
        <v>0</v>
      </c>
      <c r="AD163" s="492">
        <v>0</v>
      </c>
      <c r="AE163" s="753">
        <f t="shared" si="364"/>
        <v>0</v>
      </c>
      <c r="AF163" s="688">
        <v>0</v>
      </c>
      <c r="AG163" s="326">
        <v>0</v>
      </c>
      <c r="AH163" s="326">
        <v>0</v>
      </c>
      <c r="AI163" s="326">
        <v>0</v>
      </c>
      <c r="AJ163" s="326">
        <v>0</v>
      </c>
      <c r="AK163" s="326">
        <v>0</v>
      </c>
      <c r="AL163" s="609">
        <f t="shared" si="365"/>
        <v>0</v>
      </c>
      <c r="AM163" s="493">
        <f t="shared" si="366"/>
        <v>8123878</v>
      </c>
      <c r="AN163" s="492">
        <f t="shared" si="367"/>
        <v>6026616</v>
      </c>
      <c r="AO163" s="573">
        <f t="shared" si="368"/>
        <v>0</v>
      </c>
      <c r="AP163" s="492">
        <f t="shared" si="369"/>
        <v>2036996</v>
      </c>
      <c r="AQ163" s="492">
        <f t="shared" si="369"/>
        <v>60266</v>
      </c>
      <c r="AR163" s="492">
        <v>0</v>
      </c>
      <c r="AS163" s="491">
        <f t="shared" si="370"/>
        <v>15.18</v>
      </c>
    </row>
    <row r="164" spans="1:45" s="152" customFormat="1" ht="12.75" customHeight="1" x14ac:dyDescent="0.2">
      <c r="A164" s="140">
        <v>36</v>
      </c>
      <c r="B164" s="141">
        <v>4467</v>
      </c>
      <c r="C164" s="141">
        <v>600074935</v>
      </c>
      <c r="D164" s="141">
        <v>48282545</v>
      </c>
      <c r="E164" s="139" t="s">
        <v>772</v>
      </c>
      <c r="F164" s="141">
        <v>3143</v>
      </c>
      <c r="G164" s="117" t="s">
        <v>794</v>
      </c>
      <c r="H164" s="157" t="s">
        <v>262</v>
      </c>
      <c r="I164" s="580">
        <v>5014791</v>
      </c>
      <c r="J164" s="490">
        <v>3720171</v>
      </c>
      <c r="K164" s="490">
        <v>0</v>
      </c>
      <c r="L164" s="55">
        <v>1257418</v>
      </c>
      <c r="M164" s="55">
        <v>37202</v>
      </c>
      <c r="N164" s="55">
        <v>0</v>
      </c>
      <c r="O164" s="614">
        <v>6.96</v>
      </c>
      <c r="P164" s="440">
        <f t="shared" si="358"/>
        <v>0</v>
      </c>
      <c r="Q164" s="325">
        <v>0</v>
      </c>
      <c r="R164" s="325">
        <v>0</v>
      </c>
      <c r="S164" s="325">
        <v>0</v>
      </c>
      <c r="T164" s="325">
        <v>0</v>
      </c>
      <c r="U164" s="325">
        <v>0</v>
      </c>
      <c r="V164" s="492">
        <f t="shared" si="359"/>
        <v>0</v>
      </c>
      <c r="W164" s="325">
        <v>0</v>
      </c>
      <c r="X164" s="325">
        <v>0</v>
      </c>
      <c r="Y164" s="325">
        <v>0</v>
      </c>
      <c r="Z164" s="492">
        <f t="shared" si="360"/>
        <v>0</v>
      </c>
      <c r="AA164" s="492">
        <f t="shared" si="361"/>
        <v>0</v>
      </c>
      <c r="AB164" s="494">
        <f t="shared" si="362"/>
        <v>0</v>
      </c>
      <c r="AC164" s="494">
        <f t="shared" si="363"/>
        <v>0</v>
      </c>
      <c r="AD164" s="492">
        <v>0</v>
      </c>
      <c r="AE164" s="753">
        <f t="shared" si="364"/>
        <v>0</v>
      </c>
      <c r="AF164" s="688">
        <v>0</v>
      </c>
      <c r="AG164" s="326">
        <v>0</v>
      </c>
      <c r="AH164" s="326">
        <v>0</v>
      </c>
      <c r="AI164" s="326">
        <v>0</v>
      </c>
      <c r="AJ164" s="326">
        <v>0</v>
      </c>
      <c r="AK164" s="326">
        <v>0</v>
      </c>
      <c r="AL164" s="609">
        <f t="shared" si="365"/>
        <v>0</v>
      </c>
      <c r="AM164" s="493">
        <f t="shared" si="366"/>
        <v>5014791</v>
      </c>
      <c r="AN164" s="492">
        <f t="shared" si="367"/>
        <v>3720171</v>
      </c>
      <c r="AO164" s="573">
        <f t="shared" si="368"/>
        <v>0</v>
      </c>
      <c r="AP164" s="492">
        <f t="shared" si="369"/>
        <v>1257418</v>
      </c>
      <c r="AQ164" s="492">
        <f t="shared" si="369"/>
        <v>37202</v>
      </c>
      <c r="AR164" s="492">
        <v>0</v>
      </c>
      <c r="AS164" s="491">
        <f t="shared" si="370"/>
        <v>6.96</v>
      </c>
    </row>
    <row r="165" spans="1:45" s="152" customFormat="1" ht="12.75" customHeight="1" x14ac:dyDescent="0.2">
      <c r="A165" s="140">
        <v>36</v>
      </c>
      <c r="B165" s="141">
        <v>4467</v>
      </c>
      <c r="C165" s="141">
        <v>600074935</v>
      </c>
      <c r="D165" s="141">
        <v>48282545</v>
      </c>
      <c r="E165" s="139" t="s">
        <v>772</v>
      </c>
      <c r="F165" s="141">
        <v>3233</v>
      </c>
      <c r="G165" s="117" t="s">
        <v>283</v>
      </c>
      <c r="H165" s="560" t="s">
        <v>263</v>
      </c>
      <c r="I165" s="580">
        <v>1575186</v>
      </c>
      <c r="J165" s="490">
        <v>969027</v>
      </c>
      <c r="K165" s="490">
        <v>201000</v>
      </c>
      <c r="L165" s="55">
        <v>395469</v>
      </c>
      <c r="M165" s="55">
        <v>9690</v>
      </c>
      <c r="N165" s="55">
        <v>0</v>
      </c>
      <c r="O165" s="614">
        <v>1.56</v>
      </c>
      <c r="P165" s="440">
        <f t="shared" si="358"/>
        <v>-134000</v>
      </c>
      <c r="Q165" s="325">
        <v>0</v>
      </c>
      <c r="R165" s="325">
        <v>0</v>
      </c>
      <c r="S165" s="325">
        <v>0</v>
      </c>
      <c r="T165" s="325">
        <v>0</v>
      </c>
      <c r="U165" s="325">
        <v>0</v>
      </c>
      <c r="V165" s="492">
        <f t="shared" si="359"/>
        <v>-134000</v>
      </c>
      <c r="W165" s="325">
        <v>134000</v>
      </c>
      <c r="X165" s="325">
        <v>0</v>
      </c>
      <c r="Y165" s="325">
        <v>0</v>
      </c>
      <c r="Z165" s="492">
        <f t="shared" si="360"/>
        <v>134000</v>
      </c>
      <c r="AA165" s="492">
        <f t="shared" si="361"/>
        <v>0</v>
      </c>
      <c r="AB165" s="494">
        <f t="shared" si="362"/>
        <v>0</v>
      </c>
      <c r="AC165" s="494">
        <f t="shared" si="363"/>
        <v>-1340</v>
      </c>
      <c r="AD165" s="492">
        <v>0</v>
      </c>
      <c r="AE165" s="753">
        <f t="shared" si="364"/>
        <v>-1340</v>
      </c>
      <c r="AF165" s="688">
        <v>-0.28000000000000003</v>
      </c>
      <c r="AG165" s="326">
        <v>0</v>
      </c>
      <c r="AH165" s="326">
        <v>0</v>
      </c>
      <c r="AI165" s="326">
        <v>0</v>
      </c>
      <c r="AJ165" s="326">
        <v>0</v>
      </c>
      <c r="AK165" s="326">
        <v>0</v>
      </c>
      <c r="AL165" s="609">
        <f t="shared" si="365"/>
        <v>-0.28000000000000003</v>
      </c>
      <c r="AM165" s="493">
        <f t="shared" si="366"/>
        <v>1573846</v>
      </c>
      <c r="AN165" s="492">
        <f t="shared" si="367"/>
        <v>835027</v>
      </c>
      <c r="AO165" s="573">
        <f t="shared" si="368"/>
        <v>335000</v>
      </c>
      <c r="AP165" s="492">
        <f t="shared" si="369"/>
        <v>395469</v>
      </c>
      <c r="AQ165" s="492">
        <f t="shared" si="369"/>
        <v>8350</v>
      </c>
      <c r="AR165" s="492">
        <v>0</v>
      </c>
      <c r="AS165" s="491">
        <f t="shared" si="370"/>
        <v>1.28</v>
      </c>
    </row>
    <row r="166" spans="1:45" s="152" customFormat="1" ht="12.75" customHeight="1" x14ac:dyDescent="0.2">
      <c r="A166" s="107">
        <v>36</v>
      </c>
      <c r="B166" s="15">
        <v>4467</v>
      </c>
      <c r="C166" s="15">
        <v>600074935</v>
      </c>
      <c r="D166" s="15">
        <v>48282545</v>
      </c>
      <c r="E166" s="116" t="s">
        <v>209</v>
      </c>
      <c r="F166" s="15"/>
      <c r="G166" s="106"/>
      <c r="H166" s="555"/>
      <c r="I166" s="758">
        <v>84258329</v>
      </c>
      <c r="J166" s="343">
        <v>62238183</v>
      </c>
      <c r="K166" s="343">
        <v>270000</v>
      </c>
      <c r="L166" s="343">
        <v>21127765</v>
      </c>
      <c r="M166" s="343">
        <v>622381</v>
      </c>
      <c r="N166" s="343">
        <v>0</v>
      </c>
      <c r="O166" s="35">
        <v>100.27999999999999</v>
      </c>
      <c r="P166" s="346">
        <f t="shared" ref="P166:AS166" si="371">SUM(P159:P165)</f>
        <v>-180000</v>
      </c>
      <c r="Q166" s="343">
        <f t="shared" si="371"/>
        <v>0</v>
      </c>
      <c r="R166" s="343">
        <f t="shared" si="371"/>
        <v>0</v>
      </c>
      <c r="S166" s="343">
        <f t="shared" si="371"/>
        <v>0</v>
      </c>
      <c r="T166" s="343">
        <f t="shared" si="371"/>
        <v>0</v>
      </c>
      <c r="U166" s="343">
        <f t="shared" si="371"/>
        <v>0</v>
      </c>
      <c r="V166" s="343">
        <f t="shared" si="371"/>
        <v>-180000</v>
      </c>
      <c r="W166" s="343">
        <f t="shared" si="371"/>
        <v>180000</v>
      </c>
      <c r="X166" s="343">
        <f t="shared" si="371"/>
        <v>0</v>
      </c>
      <c r="Y166" s="343">
        <f t="shared" si="371"/>
        <v>0</v>
      </c>
      <c r="Z166" s="343">
        <f t="shared" si="371"/>
        <v>180000</v>
      </c>
      <c r="AA166" s="343">
        <f t="shared" si="371"/>
        <v>0</v>
      </c>
      <c r="AB166" s="343">
        <f t="shared" si="371"/>
        <v>0</v>
      </c>
      <c r="AC166" s="343">
        <f t="shared" si="371"/>
        <v>-1800</v>
      </c>
      <c r="AD166" s="343">
        <f t="shared" si="371"/>
        <v>0</v>
      </c>
      <c r="AE166" s="763">
        <f t="shared" si="371"/>
        <v>-1800</v>
      </c>
      <c r="AF166" s="767">
        <f t="shared" si="371"/>
        <v>-0.36000000000000004</v>
      </c>
      <c r="AG166" s="344">
        <f t="shared" si="371"/>
        <v>0</v>
      </c>
      <c r="AH166" s="344">
        <f t="shared" si="371"/>
        <v>0</v>
      </c>
      <c r="AI166" s="344">
        <f t="shared" si="371"/>
        <v>0</v>
      </c>
      <c r="AJ166" s="344">
        <f t="shared" si="371"/>
        <v>0</v>
      </c>
      <c r="AK166" s="344">
        <f t="shared" si="371"/>
        <v>0</v>
      </c>
      <c r="AL166" s="35">
        <f t="shared" si="371"/>
        <v>-0.36000000000000004</v>
      </c>
      <c r="AM166" s="346">
        <f t="shared" si="371"/>
        <v>84256529</v>
      </c>
      <c r="AN166" s="343">
        <f t="shared" si="371"/>
        <v>62058183</v>
      </c>
      <c r="AO166" s="343">
        <f t="shared" si="371"/>
        <v>450000</v>
      </c>
      <c r="AP166" s="343">
        <f t="shared" si="371"/>
        <v>21127765</v>
      </c>
      <c r="AQ166" s="343">
        <f t="shared" si="371"/>
        <v>620581</v>
      </c>
      <c r="AR166" s="343">
        <f t="shared" si="371"/>
        <v>0</v>
      </c>
      <c r="AS166" s="344">
        <f t="shared" si="371"/>
        <v>99.92</v>
      </c>
    </row>
    <row r="167" spans="1:45" s="152" customFormat="1" ht="12.75" customHeight="1" x14ac:dyDescent="0.2">
      <c r="A167" s="140">
        <v>37</v>
      </c>
      <c r="B167" s="141">
        <v>4472</v>
      </c>
      <c r="C167" s="141">
        <v>600075095</v>
      </c>
      <c r="D167" s="141">
        <v>48282561</v>
      </c>
      <c r="E167" s="139" t="s">
        <v>210</v>
      </c>
      <c r="F167" s="141">
        <v>3231</v>
      </c>
      <c r="G167" s="117" t="s">
        <v>281</v>
      </c>
      <c r="H167" s="560" t="s">
        <v>262</v>
      </c>
      <c r="I167" s="580">
        <v>11906308</v>
      </c>
      <c r="J167" s="490">
        <v>8826617</v>
      </c>
      <c r="K167" s="490">
        <v>6000</v>
      </c>
      <c r="L167" s="55">
        <v>2985425</v>
      </c>
      <c r="M167" s="55">
        <v>88266</v>
      </c>
      <c r="N167" s="55">
        <v>0</v>
      </c>
      <c r="O167" s="614">
        <v>13.24</v>
      </c>
      <c r="P167" s="445">
        <f>W167*-1</f>
        <v>-4000</v>
      </c>
      <c r="Q167" s="325">
        <v>0</v>
      </c>
      <c r="R167" s="325">
        <v>0</v>
      </c>
      <c r="S167" s="325">
        <v>0</v>
      </c>
      <c r="T167" s="325">
        <v>0</v>
      </c>
      <c r="U167" s="325">
        <v>0</v>
      </c>
      <c r="V167" s="492">
        <f>P167+Q167+R167+S167+T167+U167</f>
        <v>-4000</v>
      </c>
      <c r="W167" s="325">
        <v>4000</v>
      </c>
      <c r="X167" s="325">
        <v>0</v>
      </c>
      <c r="Y167" s="325">
        <v>0</v>
      </c>
      <c r="Z167" s="492">
        <f>W167+X167+Y167</f>
        <v>4000</v>
      </c>
      <c r="AA167" s="492">
        <f>V167+Z167</f>
        <v>0</v>
      </c>
      <c r="AB167" s="494">
        <f>ROUND((V167+Z167)*33.8%,0)</f>
        <v>0</v>
      </c>
      <c r="AC167" s="494">
        <f>ROUND(V167*1%,0)</f>
        <v>-40</v>
      </c>
      <c r="AD167" s="492">
        <v>0</v>
      </c>
      <c r="AE167" s="753">
        <f>AA167+AB167+AC167+AD167</f>
        <v>-40</v>
      </c>
      <c r="AF167" s="688">
        <v>-0.01</v>
      </c>
      <c r="AG167" s="326">
        <v>0</v>
      </c>
      <c r="AH167" s="326">
        <v>0</v>
      </c>
      <c r="AI167" s="326">
        <v>0</v>
      </c>
      <c r="AJ167" s="326">
        <v>0</v>
      </c>
      <c r="AK167" s="326">
        <v>0</v>
      </c>
      <c r="AL167" s="609">
        <f>SUM(AF167:AK167)</f>
        <v>-0.01</v>
      </c>
      <c r="AM167" s="493">
        <f>I167+AE167</f>
        <v>11906268</v>
      </c>
      <c r="AN167" s="492">
        <f>J167+V167</f>
        <v>8822617</v>
      </c>
      <c r="AO167" s="573">
        <f>K167+Z167</f>
        <v>10000</v>
      </c>
      <c r="AP167" s="492">
        <f>L167+AB167</f>
        <v>2985425</v>
      </c>
      <c r="AQ167" s="492">
        <f>M167+AC167</f>
        <v>88226</v>
      </c>
      <c r="AR167" s="492">
        <v>0</v>
      </c>
      <c r="AS167" s="491">
        <f>O167+AL167</f>
        <v>13.23</v>
      </c>
    </row>
    <row r="168" spans="1:45" s="152" customFormat="1" ht="12.75" customHeight="1" x14ac:dyDescent="0.2">
      <c r="A168" s="107">
        <v>37</v>
      </c>
      <c r="B168" s="15">
        <v>4472</v>
      </c>
      <c r="C168" s="15">
        <v>600075095</v>
      </c>
      <c r="D168" s="15">
        <v>48282561</v>
      </c>
      <c r="E168" s="116" t="s">
        <v>211</v>
      </c>
      <c r="F168" s="15"/>
      <c r="G168" s="106"/>
      <c r="H168" s="555"/>
      <c r="I168" s="758">
        <v>11906308</v>
      </c>
      <c r="J168" s="343">
        <v>8826617</v>
      </c>
      <c r="K168" s="343">
        <v>6000</v>
      </c>
      <c r="L168" s="343">
        <v>2985425</v>
      </c>
      <c r="M168" s="343">
        <v>88266</v>
      </c>
      <c r="N168" s="343">
        <v>0</v>
      </c>
      <c r="O168" s="35">
        <v>13.24</v>
      </c>
      <c r="P168" s="346">
        <f t="shared" ref="P168:AS168" si="372">SUM(P167)</f>
        <v>-4000</v>
      </c>
      <c r="Q168" s="343">
        <f t="shared" si="372"/>
        <v>0</v>
      </c>
      <c r="R168" s="343">
        <f t="shared" si="372"/>
        <v>0</v>
      </c>
      <c r="S168" s="343">
        <f t="shared" si="372"/>
        <v>0</v>
      </c>
      <c r="T168" s="343">
        <f t="shared" si="372"/>
        <v>0</v>
      </c>
      <c r="U168" s="343">
        <f t="shared" si="372"/>
        <v>0</v>
      </c>
      <c r="V168" s="343">
        <f t="shared" si="372"/>
        <v>-4000</v>
      </c>
      <c r="W168" s="343">
        <f t="shared" si="372"/>
        <v>4000</v>
      </c>
      <c r="X168" s="343">
        <f t="shared" si="372"/>
        <v>0</v>
      </c>
      <c r="Y168" s="343">
        <f t="shared" si="372"/>
        <v>0</v>
      </c>
      <c r="Z168" s="343">
        <f t="shared" si="372"/>
        <v>4000</v>
      </c>
      <c r="AA168" s="343">
        <f t="shared" si="372"/>
        <v>0</v>
      </c>
      <c r="AB168" s="343">
        <f t="shared" si="372"/>
        <v>0</v>
      </c>
      <c r="AC168" s="343">
        <f t="shared" si="372"/>
        <v>-40</v>
      </c>
      <c r="AD168" s="343">
        <f t="shared" si="372"/>
        <v>0</v>
      </c>
      <c r="AE168" s="763">
        <f t="shared" si="372"/>
        <v>-40</v>
      </c>
      <c r="AF168" s="767">
        <f t="shared" si="372"/>
        <v>-0.01</v>
      </c>
      <c r="AG168" s="344">
        <f t="shared" si="372"/>
        <v>0</v>
      </c>
      <c r="AH168" s="344">
        <f t="shared" si="372"/>
        <v>0</v>
      </c>
      <c r="AI168" s="344">
        <f t="shared" si="372"/>
        <v>0</v>
      </c>
      <c r="AJ168" s="344">
        <f t="shared" si="372"/>
        <v>0</v>
      </c>
      <c r="AK168" s="344">
        <f t="shared" si="372"/>
        <v>0</v>
      </c>
      <c r="AL168" s="35">
        <f t="shared" si="372"/>
        <v>-0.01</v>
      </c>
      <c r="AM168" s="346">
        <f t="shared" si="372"/>
        <v>11906268</v>
      </c>
      <c r="AN168" s="343">
        <f t="shared" si="372"/>
        <v>8822617</v>
      </c>
      <c r="AO168" s="343">
        <f t="shared" si="372"/>
        <v>10000</v>
      </c>
      <c r="AP168" s="343">
        <f t="shared" si="372"/>
        <v>2985425</v>
      </c>
      <c r="AQ168" s="343">
        <f t="shared" si="372"/>
        <v>88226</v>
      </c>
      <c r="AR168" s="343">
        <f t="shared" si="372"/>
        <v>0</v>
      </c>
      <c r="AS168" s="344">
        <f t="shared" si="372"/>
        <v>13.23</v>
      </c>
    </row>
    <row r="169" spans="1:45" s="152" customFormat="1" ht="12.75" customHeight="1" x14ac:dyDescent="0.2">
      <c r="A169" s="140">
        <v>38</v>
      </c>
      <c r="B169" s="141">
        <v>4418</v>
      </c>
      <c r="C169" s="141">
        <v>600074048</v>
      </c>
      <c r="D169" s="141">
        <v>72742411</v>
      </c>
      <c r="E169" s="139" t="s">
        <v>212</v>
      </c>
      <c r="F169" s="141">
        <v>3111</v>
      </c>
      <c r="G169" s="117" t="s">
        <v>277</v>
      </c>
      <c r="H169" s="560" t="s">
        <v>262</v>
      </c>
      <c r="I169" s="580">
        <v>1990140</v>
      </c>
      <c r="J169" s="490">
        <v>1464454</v>
      </c>
      <c r="K169" s="490">
        <v>12000</v>
      </c>
      <c r="L169" s="55">
        <v>499041</v>
      </c>
      <c r="M169" s="55">
        <v>14645</v>
      </c>
      <c r="N169" s="55">
        <v>0</v>
      </c>
      <c r="O169" s="614">
        <v>2.37</v>
      </c>
      <c r="P169" s="445">
        <f>W169*-1</f>
        <v>-8000</v>
      </c>
      <c r="Q169" s="325">
        <v>0</v>
      </c>
      <c r="R169" s="325">
        <v>0</v>
      </c>
      <c r="S169" s="325">
        <v>0</v>
      </c>
      <c r="T169" s="325">
        <v>0</v>
      </c>
      <c r="U169" s="325">
        <v>0</v>
      </c>
      <c r="V169" s="492">
        <f t="shared" ref="V169:V170" si="373">P169+Q169+R169+S169+T169+U169</f>
        <v>-8000</v>
      </c>
      <c r="W169" s="325">
        <v>8000</v>
      </c>
      <c r="X169" s="325">
        <v>0</v>
      </c>
      <c r="Y169" s="325">
        <v>0</v>
      </c>
      <c r="Z169" s="492">
        <f t="shared" ref="Z169:Z170" si="374">W169+X169+Y169</f>
        <v>8000</v>
      </c>
      <c r="AA169" s="492">
        <f t="shared" ref="AA169:AA170" si="375">V169+Z169</f>
        <v>0</v>
      </c>
      <c r="AB169" s="494">
        <f t="shared" ref="AB169:AB170" si="376">ROUND((V169+Z169)*33.8%,0)</f>
        <v>0</v>
      </c>
      <c r="AC169" s="494">
        <f t="shared" ref="AC169:AC170" si="377">ROUND(V169*1%,0)</f>
        <v>-80</v>
      </c>
      <c r="AD169" s="492">
        <v>0</v>
      </c>
      <c r="AE169" s="753">
        <f t="shared" ref="AE169:AE170" si="378">AA169+AB169+AC169+AD169</f>
        <v>-80</v>
      </c>
      <c r="AF169" s="688">
        <v>0</v>
      </c>
      <c r="AG169" s="326">
        <v>0</v>
      </c>
      <c r="AH169" s="326">
        <v>0</v>
      </c>
      <c r="AI169" s="326">
        <v>0</v>
      </c>
      <c r="AJ169" s="326">
        <v>0</v>
      </c>
      <c r="AK169" s="326">
        <v>0</v>
      </c>
      <c r="AL169" s="609">
        <f t="shared" ref="AL169:AL170" si="379">SUM(AF169:AK169)</f>
        <v>0</v>
      </c>
      <c r="AM169" s="493">
        <f>I169+AE169</f>
        <v>1990060</v>
      </c>
      <c r="AN169" s="492">
        <f>J169+V169</f>
        <v>1456454</v>
      </c>
      <c r="AO169" s="573">
        <f t="shared" ref="AO169:AO170" si="380">K169+Z169</f>
        <v>20000</v>
      </c>
      <c r="AP169" s="492">
        <f>L169+AB169</f>
        <v>499041</v>
      </c>
      <c r="AQ169" s="492">
        <f>M169+AC169</f>
        <v>14565</v>
      </c>
      <c r="AR169" s="492">
        <v>0</v>
      </c>
      <c r="AS169" s="491">
        <f t="shared" ref="AS169:AS170" si="381">O169+AL169</f>
        <v>2.37</v>
      </c>
    </row>
    <row r="170" spans="1:45" s="152" customFormat="1" ht="12.75" customHeight="1" x14ac:dyDescent="0.2">
      <c r="A170" s="140">
        <v>38</v>
      </c>
      <c r="B170" s="141">
        <v>4418</v>
      </c>
      <c r="C170" s="141">
        <v>600074048</v>
      </c>
      <c r="D170" s="141">
        <v>72742411</v>
      </c>
      <c r="E170" s="139" t="s">
        <v>212</v>
      </c>
      <c r="F170" s="141">
        <v>3111</v>
      </c>
      <c r="G170" s="117" t="s">
        <v>278</v>
      </c>
      <c r="H170" s="560" t="s">
        <v>263</v>
      </c>
      <c r="I170" s="580">
        <v>0</v>
      </c>
      <c r="J170" s="490">
        <v>0</v>
      </c>
      <c r="K170" s="490">
        <v>0</v>
      </c>
      <c r="L170" s="55">
        <v>0</v>
      </c>
      <c r="M170" s="55">
        <v>0</v>
      </c>
      <c r="N170" s="55">
        <v>0</v>
      </c>
      <c r="O170" s="614">
        <v>0</v>
      </c>
      <c r="P170" s="440">
        <f>W170*-1</f>
        <v>0</v>
      </c>
      <c r="Q170" s="325">
        <v>0</v>
      </c>
      <c r="R170" s="325">
        <v>0</v>
      </c>
      <c r="S170" s="325">
        <v>0</v>
      </c>
      <c r="T170" s="325">
        <v>0</v>
      </c>
      <c r="U170" s="325">
        <v>0</v>
      </c>
      <c r="V170" s="492">
        <f t="shared" si="373"/>
        <v>0</v>
      </c>
      <c r="W170" s="325">
        <v>0</v>
      </c>
      <c r="X170" s="325">
        <v>0</v>
      </c>
      <c r="Y170" s="325">
        <v>0</v>
      </c>
      <c r="Z170" s="492">
        <f t="shared" si="374"/>
        <v>0</v>
      </c>
      <c r="AA170" s="492">
        <f t="shared" si="375"/>
        <v>0</v>
      </c>
      <c r="AB170" s="494">
        <f t="shared" si="376"/>
        <v>0</v>
      </c>
      <c r="AC170" s="494">
        <f t="shared" si="377"/>
        <v>0</v>
      </c>
      <c r="AD170" s="492">
        <v>0</v>
      </c>
      <c r="AE170" s="753">
        <f t="shared" si="378"/>
        <v>0</v>
      </c>
      <c r="AF170" s="688">
        <v>0</v>
      </c>
      <c r="AG170" s="326">
        <v>0</v>
      </c>
      <c r="AH170" s="326">
        <v>0</v>
      </c>
      <c r="AI170" s="326">
        <v>0</v>
      </c>
      <c r="AJ170" s="326">
        <v>0</v>
      </c>
      <c r="AK170" s="326">
        <v>0</v>
      </c>
      <c r="AL170" s="609">
        <f t="shared" si="379"/>
        <v>0</v>
      </c>
      <c r="AM170" s="493">
        <f>I170+AE170</f>
        <v>0</v>
      </c>
      <c r="AN170" s="492">
        <f>J170+V170</f>
        <v>0</v>
      </c>
      <c r="AO170" s="573">
        <f t="shared" si="380"/>
        <v>0</v>
      </c>
      <c r="AP170" s="492">
        <f>L170+AB170</f>
        <v>0</v>
      </c>
      <c r="AQ170" s="492">
        <f>M170+AC170</f>
        <v>0</v>
      </c>
      <c r="AR170" s="492">
        <v>0</v>
      </c>
      <c r="AS170" s="491">
        <f t="shared" si="381"/>
        <v>0</v>
      </c>
    </row>
    <row r="171" spans="1:45" s="152" customFormat="1" ht="12.75" customHeight="1" x14ac:dyDescent="0.2">
      <c r="A171" s="107">
        <v>38</v>
      </c>
      <c r="B171" s="15">
        <v>4418</v>
      </c>
      <c r="C171" s="15">
        <v>600074048</v>
      </c>
      <c r="D171" s="15">
        <v>72742411</v>
      </c>
      <c r="E171" s="116" t="s">
        <v>213</v>
      </c>
      <c r="F171" s="15"/>
      <c r="G171" s="106"/>
      <c r="H171" s="555"/>
      <c r="I171" s="758">
        <v>1990140</v>
      </c>
      <c r="J171" s="343">
        <v>1464454</v>
      </c>
      <c r="K171" s="343">
        <v>12000</v>
      </c>
      <c r="L171" s="343">
        <v>499041</v>
      </c>
      <c r="M171" s="343">
        <v>14645</v>
      </c>
      <c r="N171" s="343">
        <v>0</v>
      </c>
      <c r="O171" s="35">
        <v>2.37</v>
      </c>
      <c r="P171" s="346">
        <f t="shared" ref="P171:AS171" si="382">SUM(P169:P170)</f>
        <v>-8000</v>
      </c>
      <c r="Q171" s="343">
        <f t="shared" si="382"/>
        <v>0</v>
      </c>
      <c r="R171" s="343">
        <f t="shared" si="382"/>
        <v>0</v>
      </c>
      <c r="S171" s="343">
        <f t="shared" si="382"/>
        <v>0</v>
      </c>
      <c r="T171" s="343">
        <f t="shared" si="382"/>
        <v>0</v>
      </c>
      <c r="U171" s="343">
        <f t="shared" si="382"/>
        <v>0</v>
      </c>
      <c r="V171" s="343">
        <f t="shared" si="382"/>
        <v>-8000</v>
      </c>
      <c r="W171" s="343">
        <f t="shared" si="382"/>
        <v>8000</v>
      </c>
      <c r="X171" s="343">
        <f t="shared" si="382"/>
        <v>0</v>
      </c>
      <c r="Y171" s="343">
        <f t="shared" si="382"/>
        <v>0</v>
      </c>
      <c r="Z171" s="343">
        <f t="shared" si="382"/>
        <v>8000</v>
      </c>
      <c r="AA171" s="343">
        <f t="shared" si="382"/>
        <v>0</v>
      </c>
      <c r="AB171" s="343">
        <f t="shared" si="382"/>
        <v>0</v>
      </c>
      <c r="AC171" s="343">
        <f t="shared" si="382"/>
        <v>-80</v>
      </c>
      <c r="AD171" s="343">
        <f t="shared" si="382"/>
        <v>0</v>
      </c>
      <c r="AE171" s="763">
        <f t="shared" si="382"/>
        <v>-80</v>
      </c>
      <c r="AF171" s="767">
        <f t="shared" si="382"/>
        <v>0</v>
      </c>
      <c r="AG171" s="344">
        <f t="shared" si="382"/>
        <v>0</v>
      </c>
      <c r="AH171" s="344">
        <f t="shared" si="382"/>
        <v>0</v>
      </c>
      <c r="AI171" s="344">
        <f t="shared" si="382"/>
        <v>0</v>
      </c>
      <c r="AJ171" s="344">
        <f t="shared" si="382"/>
        <v>0</v>
      </c>
      <c r="AK171" s="344">
        <f t="shared" si="382"/>
        <v>0</v>
      </c>
      <c r="AL171" s="35">
        <f t="shared" si="382"/>
        <v>0</v>
      </c>
      <c r="AM171" s="346">
        <f t="shared" si="382"/>
        <v>1990060</v>
      </c>
      <c r="AN171" s="343">
        <f t="shared" si="382"/>
        <v>1456454</v>
      </c>
      <c r="AO171" s="343">
        <f t="shared" si="382"/>
        <v>20000</v>
      </c>
      <c r="AP171" s="343">
        <f t="shared" si="382"/>
        <v>499041</v>
      </c>
      <c r="AQ171" s="343">
        <f t="shared" si="382"/>
        <v>14565</v>
      </c>
      <c r="AR171" s="343">
        <f t="shared" si="382"/>
        <v>0</v>
      </c>
      <c r="AS171" s="344">
        <f t="shared" si="382"/>
        <v>2.37</v>
      </c>
    </row>
    <row r="172" spans="1:45" s="152" customFormat="1" ht="12.75" customHeight="1" x14ac:dyDescent="0.2">
      <c r="A172" s="140">
        <v>39</v>
      </c>
      <c r="B172" s="141">
        <v>4432</v>
      </c>
      <c r="C172" s="141">
        <v>600074625</v>
      </c>
      <c r="D172" s="141">
        <v>70695903</v>
      </c>
      <c r="E172" s="139" t="s">
        <v>214</v>
      </c>
      <c r="F172" s="141">
        <v>3111</v>
      </c>
      <c r="G172" s="117" t="s">
        <v>277</v>
      </c>
      <c r="H172" s="560" t="s">
        <v>262</v>
      </c>
      <c r="I172" s="580">
        <v>1752617</v>
      </c>
      <c r="J172" s="490">
        <v>1300161</v>
      </c>
      <c r="K172" s="490">
        <v>0</v>
      </c>
      <c r="L172" s="55">
        <v>439454</v>
      </c>
      <c r="M172" s="55">
        <v>13002</v>
      </c>
      <c r="N172" s="55">
        <v>0</v>
      </c>
      <c r="O172" s="614">
        <v>2.16</v>
      </c>
      <c r="P172" s="445">
        <f t="shared" ref="P172:P175" si="383">W172*-1</f>
        <v>0</v>
      </c>
      <c r="Q172" s="325">
        <v>0</v>
      </c>
      <c r="R172" s="325">
        <v>0</v>
      </c>
      <c r="S172" s="325">
        <v>0</v>
      </c>
      <c r="T172" s="325">
        <v>0</v>
      </c>
      <c r="U172" s="325">
        <v>0</v>
      </c>
      <c r="V172" s="492">
        <f t="shared" ref="V172:V175" si="384">P172+Q172+R172+S172+T172+U172</f>
        <v>0</v>
      </c>
      <c r="W172" s="325">
        <v>0</v>
      </c>
      <c r="X172" s="325">
        <v>0</v>
      </c>
      <c r="Y172" s="325">
        <v>0</v>
      </c>
      <c r="Z172" s="492">
        <f t="shared" ref="Z172:Z175" si="385">W172+X172+Y172</f>
        <v>0</v>
      </c>
      <c r="AA172" s="492">
        <f t="shared" ref="AA172:AA175" si="386">V172+Z172</f>
        <v>0</v>
      </c>
      <c r="AB172" s="494">
        <f t="shared" ref="AB172:AB175" si="387">ROUND((V172+Z172)*33.8%,0)</f>
        <v>0</v>
      </c>
      <c r="AC172" s="494">
        <f t="shared" ref="AC172:AC175" si="388">ROUND(V172*1%,0)</f>
        <v>0</v>
      </c>
      <c r="AD172" s="492">
        <v>0</v>
      </c>
      <c r="AE172" s="753">
        <f t="shared" ref="AE172:AE175" si="389">AA172+AB172+AC172+AD172</f>
        <v>0</v>
      </c>
      <c r="AF172" s="688">
        <v>0</v>
      </c>
      <c r="AG172" s="326">
        <v>0</v>
      </c>
      <c r="AH172" s="326">
        <v>0</v>
      </c>
      <c r="AI172" s="326">
        <v>0</v>
      </c>
      <c r="AJ172" s="326">
        <v>0</v>
      </c>
      <c r="AK172" s="326">
        <v>0</v>
      </c>
      <c r="AL172" s="609">
        <f t="shared" ref="AL172:AL175" si="390">SUM(AF172:AK172)</f>
        <v>0</v>
      </c>
      <c r="AM172" s="493">
        <f>I172+AE172</f>
        <v>1752617</v>
      </c>
      <c r="AN172" s="492">
        <f>J172+V172</f>
        <v>1300161</v>
      </c>
      <c r="AO172" s="573">
        <f t="shared" ref="AO172:AO175" si="391">K172+Z172</f>
        <v>0</v>
      </c>
      <c r="AP172" s="492">
        <f t="shared" ref="AP172:AQ175" si="392">L172+AB172</f>
        <v>439454</v>
      </c>
      <c r="AQ172" s="492">
        <f t="shared" si="392"/>
        <v>13002</v>
      </c>
      <c r="AR172" s="492">
        <v>0</v>
      </c>
      <c r="AS172" s="491">
        <f t="shared" ref="AS172:AS175" si="393">O172+AL172</f>
        <v>2.16</v>
      </c>
    </row>
    <row r="173" spans="1:45" s="152" customFormat="1" ht="12.75" customHeight="1" x14ac:dyDescent="0.2">
      <c r="A173" s="140">
        <v>39</v>
      </c>
      <c r="B173" s="141">
        <v>4432</v>
      </c>
      <c r="C173" s="141">
        <v>600074625</v>
      </c>
      <c r="D173" s="141">
        <v>70695903</v>
      </c>
      <c r="E173" s="139" t="s">
        <v>214</v>
      </c>
      <c r="F173" s="141">
        <v>3117</v>
      </c>
      <c r="G173" s="117" t="s">
        <v>280</v>
      </c>
      <c r="H173" s="560" t="s">
        <v>262</v>
      </c>
      <c r="I173" s="580">
        <v>3054698</v>
      </c>
      <c r="J173" s="490">
        <v>2266097</v>
      </c>
      <c r="K173" s="490">
        <v>0</v>
      </c>
      <c r="L173" s="55">
        <v>765941</v>
      </c>
      <c r="M173" s="55">
        <v>22660</v>
      </c>
      <c r="N173" s="55">
        <v>0</v>
      </c>
      <c r="O173" s="614">
        <v>3.27</v>
      </c>
      <c r="P173" s="440">
        <f t="shared" si="383"/>
        <v>0</v>
      </c>
      <c r="Q173" s="325">
        <v>0</v>
      </c>
      <c r="R173" s="325">
        <v>0</v>
      </c>
      <c r="S173" s="325">
        <v>0</v>
      </c>
      <c r="T173" s="325">
        <v>0</v>
      </c>
      <c r="U173" s="325">
        <v>0</v>
      </c>
      <c r="V173" s="492">
        <f t="shared" si="384"/>
        <v>0</v>
      </c>
      <c r="W173" s="325">
        <v>0</v>
      </c>
      <c r="X173" s="325">
        <v>0</v>
      </c>
      <c r="Y173" s="325">
        <v>0</v>
      </c>
      <c r="Z173" s="492">
        <f t="shared" si="385"/>
        <v>0</v>
      </c>
      <c r="AA173" s="492">
        <f t="shared" si="386"/>
        <v>0</v>
      </c>
      <c r="AB173" s="494">
        <f t="shared" si="387"/>
        <v>0</v>
      </c>
      <c r="AC173" s="494">
        <f t="shared" si="388"/>
        <v>0</v>
      </c>
      <c r="AD173" s="492">
        <v>0</v>
      </c>
      <c r="AE173" s="753">
        <f t="shared" si="389"/>
        <v>0</v>
      </c>
      <c r="AF173" s="688">
        <v>0</v>
      </c>
      <c r="AG173" s="326">
        <v>0</v>
      </c>
      <c r="AH173" s="326">
        <v>0</v>
      </c>
      <c r="AI173" s="326">
        <v>0</v>
      </c>
      <c r="AJ173" s="326">
        <v>0</v>
      </c>
      <c r="AK173" s="326">
        <v>0</v>
      </c>
      <c r="AL173" s="609">
        <f t="shared" si="390"/>
        <v>0</v>
      </c>
      <c r="AM173" s="493">
        <f>I173+AE173</f>
        <v>3054698</v>
      </c>
      <c r="AN173" s="492">
        <f>J173+V173</f>
        <v>2266097</v>
      </c>
      <c r="AO173" s="573">
        <f t="shared" si="391"/>
        <v>0</v>
      </c>
      <c r="AP173" s="492">
        <f t="shared" si="392"/>
        <v>765941</v>
      </c>
      <c r="AQ173" s="492">
        <f t="shared" si="392"/>
        <v>22660</v>
      </c>
      <c r="AR173" s="492">
        <v>0</v>
      </c>
      <c r="AS173" s="491">
        <f t="shared" si="393"/>
        <v>3.27</v>
      </c>
    </row>
    <row r="174" spans="1:45" s="152" customFormat="1" ht="12.75" customHeight="1" x14ac:dyDescent="0.2">
      <c r="A174" s="140">
        <v>39</v>
      </c>
      <c r="B174" s="141">
        <v>4432</v>
      </c>
      <c r="C174" s="141">
        <v>600074625</v>
      </c>
      <c r="D174" s="141">
        <v>70695903</v>
      </c>
      <c r="E174" s="139" t="s">
        <v>214</v>
      </c>
      <c r="F174" s="141">
        <v>3117</v>
      </c>
      <c r="G174" s="117" t="s">
        <v>278</v>
      </c>
      <c r="H174" s="560" t="s">
        <v>263</v>
      </c>
      <c r="I174" s="580">
        <v>1458260</v>
      </c>
      <c r="J174" s="490">
        <v>1081795</v>
      </c>
      <c r="K174" s="490">
        <v>0</v>
      </c>
      <c r="L174" s="55">
        <v>365647</v>
      </c>
      <c r="M174" s="55">
        <v>10818</v>
      </c>
      <c r="N174" s="55">
        <v>0</v>
      </c>
      <c r="O174" s="614">
        <v>2.92</v>
      </c>
      <c r="P174" s="440">
        <f t="shared" si="383"/>
        <v>0</v>
      </c>
      <c r="Q174" s="325">
        <v>223227</v>
      </c>
      <c r="R174" s="325">
        <v>0</v>
      </c>
      <c r="S174" s="325">
        <v>0</v>
      </c>
      <c r="T174" s="325">
        <v>0</v>
      </c>
      <c r="U174" s="325">
        <v>0</v>
      </c>
      <c r="V174" s="492">
        <f t="shared" si="384"/>
        <v>223227</v>
      </c>
      <c r="W174" s="325">
        <v>0</v>
      </c>
      <c r="X174" s="325">
        <v>0</v>
      </c>
      <c r="Y174" s="325">
        <v>0</v>
      </c>
      <c r="Z174" s="492">
        <f t="shared" si="385"/>
        <v>0</v>
      </c>
      <c r="AA174" s="492">
        <f t="shared" si="386"/>
        <v>223227</v>
      </c>
      <c r="AB174" s="494">
        <f t="shared" si="387"/>
        <v>75451</v>
      </c>
      <c r="AC174" s="494">
        <f t="shared" si="388"/>
        <v>2232</v>
      </c>
      <c r="AD174" s="492">
        <v>0</v>
      </c>
      <c r="AE174" s="753">
        <f t="shared" si="389"/>
        <v>300910</v>
      </c>
      <c r="AF174" s="688">
        <v>0</v>
      </c>
      <c r="AG174" s="326">
        <v>0.56000000000000005</v>
      </c>
      <c r="AH174" s="326">
        <v>0</v>
      </c>
      <c r="AI174" s="326">
        <v>0</v>
      </c>
      <c r="AJ174" s="326">
        <v>0</v>
      </c>
      <c r="AK174" s="326">
        <v>0</v>
      </c>
      <c r="AL174" s="609">
        <f t="shared" si="390"/>
        <v>0.56000000000000005</v>
      </c>
      <c r="AM174" s="493">
        <f>I174+AE174</f>
        <v>1759170</v>
      </c>
      <c r="AN174" s="492">
        <f>J174+V174</f>
        <v>1305022</v>
      </c>
      <c r="AO174" s="573">
        <f t="shared" si="391"/>
        <v>0</v>
      </c>
      <c r="AP174" s="492">
        <f t="shared" si="392"/>
        <v>441098</v>
      </c>
      <c r="AQ174" s="492">
        <f t="shared" si="392"/>
        <v>13050</v>
      </c>
      <c r="AR174" s="492">
        <v>0</v>
      </c>
      <c r="AS174" s="491">
        <f t="shared" si="393"/>
        <v>3.48</v>
      </c>
    </row>
    <row r="175" spans="1:45" s="152" customFormat="1" ht="12.75" customHeight="1" x14ac:dyDescent="0.2">
      <c r="A175" s="140">
        <v>39</v>
      </c>
      <c r="B175" s="141">
        <v>4432</v>
      </c>
      <c r="C175" s="141">
        <v>600074625</v>
      </c>
      <c r="D175" s="141">
        <v>70695903</v>
      </c>
      <c r="E175" s="139" t="s">
        <v>214</v>
      </c>
      <c r="F175" s="141">
        <v>3143</v>
      </c>
      <c r="G175" s="117" t="s">
        <v>794</v>
      </c>
      <c r="H175" s="157" t="s">
        <v>262</v>
      </c>
      <c r="I175" s="580">
        <v>768591</v>
      </c>
      <c r="J175" s="490">
        <v>570171</v>
      </c>
      <c r="K175" s="490">
        <v>0</v>
      </c>
      <c r="L175" s="55">
        <v>192718</v>
      </c>
      <c r="M175" s="55">
        <v>5702</v>
      </c>
      <c r="N175" s="55">
        <v>0</v>
      </c>
      <c r="O175" s="614">
        <v>1.1200000000000001</v>
      </c>
      <c r="P175" s="440">
        <f t="shared" si="383"/>
        <v>0</v>
      </c>
      <c r="Q175" s="325">
        <v>0</v>
      </c>
      <c r="R175" s="325">
        <v>0</v>
      </c>
      <c r="S175" s="325">
        <v>0</v>
      </c>
      <c r="T175" s="325">
        <v>0</v>
      </c>
      <c r="U175" s="325">
        <v>0</v>
      </c>
      <c r="V175" s="492">
        <f t="shared" si="384"/>
        <v>0</v>
      </c>
      <c r="W175" s="325">
        <v>0</v>
      </c>
      <c r="X175" s="325">
        <v>0</v>
      </c>
      <c r="Y175" s="325">
        <v>0</v>
      </c>
      <c r="Z175" s="492">
        <f t="shared" si="385"/>
        <v>0</v>
      </c>
      <c r="AA175" s="492">
        <f t="shared" si="386"/>
        <v>0</v>
      </c>
      <c r="AB175" s="494">
        <f t="shared" si="387"/>
        <v>0</v>
      </c>
      <c r="AC175" s="494">
        <f t="shared" si="388"/>
        <v>0</v>
      </c>
      <c r="AD175" s="492">
        <v>0</v>
      </c>
      <c r="AE175" s="753">
        <f t="shared" si="389"/>
        <v>0</v>
      </c>
      <c r="AF175" s="688">
        <v>0</v>
      </c>
      <c r="AG175" s="326">
        <v>0</v>
      </c>
      <c r="AH175" s="326">
        <v>0</v>
      </c>
      <c r="AI175" s="326">
        <v>0</v>
      </c>
      <c r="AJ175" s="326">
        <v>0</v>
      </c>
      <c r="AK175" s="326">
        <v>0</v>
      </c>
      <c r="AL175" s="609">
        <f t="shared" si="390"/>
        <v>0</v>
      </c>
      <c r="AM175" s="493">
        <f>I175+AE175</f>
        <v>768591</v>
      </c>
      <c r="AN175" s="492">
        <f>J175+V175</f>
        <v>570171</v>
      </c>
      <c r="AO175" s="573">
        <f t="shared" si="391"/>
        <v>0</v>
      </c>
      <c r="AP175" s="492">
        <f t="shared" si="392"/>
        <v>192718</v>
      </c>
      <c r="AQ175" s="492">
        <f t="shared" si="392"/>
        <v>5702</v>
      </c>
      <c r="AR175" s="492">
        <v>0</v>
      </c>
      <c r="AS175" s="491">
        <f t="shared" si="393"/>
        <v>1.1200000000000001</v>
      </c>
    </row>
    <row r="176" spans="1:45" s="152" customFormat="1" ht="12.75" customHeight="1" x14ac:dyDescent="0.2">
      <c r="A176" s="107">
        <v>39</v>
      </c>
      <c r="B176" s="15">
        <v>4432</v>
      </c>
      <c r="C176" s="15">
        <v>600074625</v>
      </c>
      <c r="D176" s="15">
        <v>70695903</v>
      </c>
      <c r="E176" s="116" t="s">
        <v>215</v>
      </c>
      <c r="F176" s="15"/>
      <c r="G176" s="106"/>
      <c r="H176" s="555"/>
      <c r="I176" s="758">
        <v>7034166</v>
      </c>
      <c r="J176" s="343">
        <v>5218224</v>
      </c>
      <c r="K176" s="343">
        <v>0</v>
      </c>
      <c r="L176" s="343">
        <v>1763760</v>
      </c>
      <c r="M176" s="343">
        <v>52182</v>
      </c>
      <c r="N176" s="343">
        <v>0</v>
      </c>
      <c r="O176" s="35">
        <v>9.4699999999999989</v>
      </c>
      <c r="P176" s="346">
        <f t="shared" ref="P176:AS176" si="394">SUM(P172:P175)</f>
        <v>0</v>
      </c>
      <c r="Q176" s="343">
        <f t="shared" si="394"/>
        <v>223227</v>
      </c>
      <c r="R176" s="343">
        <f t="shared" si="394"/>
        <v>0</v>
      </c>
      <c r="S176" s="343">
        <f t="shared" si="394"/>
        <v>0</v>
      </c>
      <c r="T176" s="343">
        <f t="shared" si="394"/>
        <v>0</v>
      </c>
      <c r="U176" s="343">
        <f t="shared" si="394"/>
        <v>0</v>
      </c>
      <c r="V176" s="343">
        <f t="shared" si="394"/>
        <v>223227</v>
      </c>
      <c r="W176" s="343">
        <f t="shared" si="394"/>
        <v>0</v>
      </c>
      <c r="X176" s="343">
        <f t="shared" si="394"/>
        <v>0</v>
      </c>
      <c r="Y176" s="343">
        <f t="shared" si="394"/>
        <v>0</v>
      </c>
      <c r="Z176" s="343">
        <f t="shared" si="394"/>
        <v>0</v>
      </c>
      <c r="AA176" s="343">
        <f t="shared" si="394"/>
        <v>223227</v>
      </c>
      <c r="AB176" s="343">
        <f t="shared" si="394"/>
        <v>75451</v>
      </c>
      <c r="AC176" s="343">
        <f t="shared" si="394"/>
        <v>2232</v>
      </c>
      <c r="AD176" s="343">
        <f t="shared" si="394"/>
        <v>0</v>
      </c>
      <c r="AE176" s="763">
        <f t="shared" si="394"/>
        <v>300910</v>
      </c>
      <c r="AF176" s="767">
        <f t="shared" si="394"/>
        <v>0</v>
      </c>
      <c r="AG176" s="344">
        <f t="shared" si="394"/>
        <v>0.56000000000000005</v>
      </c>
      <c r="AH176" s="344">
        <f t="shared" si="394"/>
        <v>0</v>
      </c>
      <c r="AI176" s="344">
        <f t="shared" si="394"/>
        <v>0</v>
      </c>
      <c r="AJ176" s="344">
        <f t="shared" si="394"/>
        <v>0</v>
      </c>
      <c r="AK176" s="344">
        <f t="shared" si="394"/>
        <v>0</v>
      </c>
      <c r="AL176" s="35">
        <f t="shared" si="394"/>
        <v>0.56000000000000005</v>
      </c>
      <c r="AM176" s="346">
        <f t="shared" si="394"/>
        <v>7335076</v>
      </c>
      <c r="AN176" s="343">
        <f t="shared" si="394"/>
        <v>5441451</v>
      </c>
      <c r="AO176" s="343">
        <f t="shared" si="394"/>
        <v>0</v>
      </c>
      <c r="AP176" s="343">
        <f t="shared" si="394"/>
        <v>1839211</v>
      </c>
      <c r="AQ176" s="343">
        <f t="shared" si="394"/>
        <v>54414</v>
      </c>
      <c r="AR176" s="343">
        <f t="shared" si="394"/>
        <v>0</v>
      </c>
      <c r="AS176" s="344">
        <f t="shared" si="394"/>
        <v>10.030000000000001</v>
      </c>
    </row>
    <row r="177" spans="1:45" s="152" customFormat="1" ht="12.75" customHeight="1" x14ac:dyDescent="0.2">
      <c r="A177" s="140">
        <v>40</v>
      </c>
      <c r="B177" s="141">
        <v>4459</v>
      </c>
      <c r="C177" s="141">
        <v>650037171</v>
      </c>
      <c r="D177" s="141">
        <v>72742356</v>
      </c>
      <c r="E177" s="139" t="s">
        <v>216</v>
      </c>
      <c r="F177" s="141">
        <v>3111</v>
      </c>
      <c r="G177" s="117" t="s">
        <v>277</v>
      </c>
      <c r="H177" s="560" t="s">
        <v>262</v>
      </c>
      <c r="I177" s="580">
        <v>3017409</v>
      </c>
      <c r="J177" s="490">
        <v>2238434</v>
      </c>
      <c r="K177" s="490">
        <v>0</v>
      </c>
      <c r="L177" s="55">
        <v>756591</v>
      </c>
      <c r="M177" s="55">
        <v>22384</v>
      </c>
      <c r="N177" s="55">
        <v>0</v>
      </c>
      <c r="O177" s="614">
        <v>3.87</v>
      </c>
      <c r="P177" s="445">
        <f t="shared" ref="P177:P180" si="395">W177*-1</f>
        <v>0</v>
      </c>
      <c r="Q177" s="325">
        <v>0</v>
      </c>
      <c r="R177" s="325">
        <v>0</v>
      </c>
      <c r="S177" s="325">
        <v>0</v>
      </c>
      <c r="T177" s="325">
        <v>0</v>
      </c>
      <c r="U177" s="325">
        <v>0</v>
      </c>
      <c r="V177" s="492">
        <f t="shared" ref="V177:V180" si="396">P177+Q177+R177+S177+T177+U177</f>
        <v>0</v>
      </c>
      <c r="W177" s="325">
        <v>0</v>
      </c>
      <c r="X177" s="325">
        <v>0</v>
      </c>
      <c r="Y177" s="325">
        <v>0</v>
      </c>
      <c r="Z177" s="492">
        <f t="shared" ref="Z177:Z180" si="397">W177+X177+Y177</f>
        <v>0</v>
      </c>
      <c r="AA177" s="492">
        <f t="shared" ref="AA177:AA180" si="398">V177+Z177</f>
        <v>0</v>
      </c>
      <c r="AB177" s="494">
        <f t="shared" ref="AB177:AB180" si="399">ROUND((V177+Z177)*33.8%,0)</f>
        <v>0</v>
      </c>
      <c r="AC177" s="494">
        <f t="shared" ref="AC177:AC180" si="400">ROUND(V177*1%,0)</f>
        <v>0</v>
      </c>
      <c r="AD177" s="492">
        <v>0</v>
      </c>
      <c r="AE177" s="753">
        <f t="shared" ref="AE177:AE180" si="401">AA177+AB177+AC177+AD177</f>
        <v>0</v>
      </c>
      <c r="AF177" s="688">
        <v>0</v>
      </c>
      <c r="AG177" s="326">
        <v>0</v>
      </c>
      <c r="AH177" s="326">
        <v>0</v>
      </c>
      <c r="AI177" s="326">
        <v>0</v>
      </c>
      <c r="AJ177" s="326">
        <v>0</v>
      </c>
      <c r="AK177" s="326">
        <v>0</v>
      </c>
      <c r="AL177" s="609">
        <f t="shared" ref="AL177:AL180" si="402">SUM(AF177:AK177)</f>
        <v>0</v>
      </c>
      <c r="AM177" s="493">
        <f>I177+AE177</f>
        <v>3017409</v>
      </c>
      <c r="AN177" s="492">
        <f>J177+V177</f>
        <v>2238434</v>
      </c>
      <c r="AO177" s="573">
        <f t="shared" ref="AO177:AO180" si="403">K177+Z177</f>
        <v>0</v>
      </c>
      <c r="AP177" s="492">
        <f t="shared" ref="AP177:AQ180" si="404">L177+AB177</f>
        <v>756591</v>
      </c>
      <c r="AQ177" s="492">
        <f t="shared" si="404"/>
        <v>22384</v>
      </c>
      <c r="AR177" s="492">
        <v>0</v>
      </c>
      <c r="AS177" s="491">
        <f t="shared" ref="AS177:AS180" si="405">O177+AL177</f>
        <v>3.87</v>
      </c>
    </row>
    <row r="178" spans="1:45" s="152" customFormat="1" ht="12.75" customHeight="1" x14ac:dyDescent="0.2">
      <c r="A178" s="140">
        <v>40</v>
      </c>
      <c r="B178" s="141">
        <v>4459</v>
      </c>
      <c r="C178" s="141">
        <v>650037171</v>
      </c>
      <c r="D178" s="141">
        <v>72742356</v>
      </c>
      <c r="E178" s="139" t="s">
        <v>216</v>
      </c>
      <c r="F178" s="141">
        <v>3113</v>
      </c>
      <c r="G178" s="117" t="s">
        <v>280</v>
      </c>
      <c r="H178" s="560" t="s">
        <v>262</v>
      </c>
      <c r="I178" s="580">
        <v>13109396</v>
      </c>
      <c r="J178" s="490">
        <v>9725071</v>
      </c>
      <c r="K178" s="490">
        <v>0</v>
      </c>
      <c r="L178" s="55">
        <v>3287073</v>
      </c>
      <c r="M178" s="55">
        <v>97252</v>
      </c>
      <c r="N178" s="55">
        <v>0</v>
      </c>
      <c r="O178" s="614">
        <v>14.54</v>
      </c>
      <c r="P178" s="440">
        <f t="shared" si="395"/>
        <v>0</v>
      </c>
      <c r="Q178" s="325">
        <v>0</v>
      </c>
      <c r="R178" s="325">
        <v>0</v>
      </c>
      <c r="S178" s="325">
        <v>0</v>
      </c>
      <c r="T178" s="325">
        <v>0</v>
      </c>
      <c r="U178" s="325">
        <v>0</v>
      </c>
      <c r="V178" s="492">
        <f t="shared" si="396"/>
        <v>0</v>
      </c>
      <c r="W178" s="325">
        <v>0</v>
      </c>
      <c r="X178" s="325">
        <v>0</v>
      </c>
      <c r="Y178" s="325">
        <v>0</v>
      </c>
      <c r="Z178" s="492">
        <f t="shared" si="397"/>
        <v>0</v>
      </c>
      <c r="AA178" s="492">
        <f t="shared" si="398"/>
        <v>0</v>
      </c>
      <c r="AB178" s="494">
        <f t="shared" si="399"/>
        <v>0</v>
      </c>
      <c r="AC178" s="494">
        <f t="shared" si="400"/>
        <v>0</v>
      </c>
      <c r="AD178" s="492">
        <v>0</v>
      </c>
      <c r="AE178" s="753">
        <f t="shared" si="401"/>
        <v>0</v>
      </c>
      <c r="AF178" s="688">
        <v>0</v>
      </c>
      <c r="AG178" s="326">
        <v>0</v>
      </c>
      <c r="AH178" s="326">
        <v>0</v>
      </c>
      <c r="AI178" s="326">
        <v>0</v>
      </c>
      <c r="AJ178" s="326">
        <v>0</v>
      </c>
      <c r="AK178" s="326">
        <v>0</v>
      </c>
      <c r="AL178" s="609">
        <f t="shared" si="402"/>
        <v>0</v>
      </c>
      <c r="AM178" s="493">
        <f>I178+AE178</f>
        <v>13109396</v>
      </c>
      <c r="AN178" s="492">
        <f>J178+V178</f>
        <v>9725071</v>
      </c>
      <c r="AO178" s="573">
        <f t="shared" si="403"/>
        <v>0</v>
      </c>
      <c r="AP178" s="492">
        <f t="shared" si="404"/>
        <v>3287073</v>
      </c>
      <c r="AQ178" s="492">
        <f t="shared" si="404"/>
        <v>97252</v>
      </c>
      <c r="AR178" s="492">
        <v>0</v>
      </c>
      <c r="AS178" s="491">
        <f t="shared" si="405"/>
        <v>14.54</v>
      </c>
    </row>
    <row r="179" spans="1:45" s="152" customFormat="1" ht="12.75" customHeight="1" x14ac:dyDescent="0.2">
      <c r="A179" s="140">
        <v>40</v>
      </c>
      <c r="B179" s="141">
        <v>4459</v>
      </c>
      <c r="C179" s="141">
        <v>650037171</v>
      </c>
      <c r="D179" s="141">
        <v>72742356</v>
      </c>
      <c r="E179" s="139" t="s">
        <v>216</v>
      </c>
      <c r="F179" s="141">
        <v>3113</v>
      </c>
      <c r="G179" s="117" t="s">
        <v>278</v>
      </c>
      <c r="H179" s="560" t="s">
        <v>263</v>
      </c>
      <c r="I179" s="580">
        <v>2541016</v>
      </c>
      <c r="J179" s="490">
        <v>1885027</v>
      </c>
      <c r="K179" s="490">
        <v>0</v>
      </c>
      <c r="L179" s="55">
        <v>637139</v>
      </c>
      <c r="M179" s="55">
        <v>18850</v>
      </c>
      <c r="N179" s="55">
        <v>0</v>
      </c>
      <c r="O179" s="614">
        <v>4.75</v>
      </c>
      <c r="P179" s="440">
        <f t="shared" si="395"/>
        <v>0</v>
      </c>
      <c r="Q179" s="325">
        <v>0</v>
      </c>
      <c r="R179" s="325">
        <v>0</v>
      </c>
      <c r="S179" s="325">
        <v>0</v>
      </c>
      <c r="T179" s="325">
        <v>0</v>
      </c>
      <c r="U179" s="325">
        <v>0</v>
      </c>
      <c r="V179" s="492">
        <f t="shared" si="396"/>
        <v>0</v>
      </c>
      <c r="W179" s="325">
        <v>0</v>
      </c>
      <c r="X179" s="325">
        <v>0</v>
      </c>
      <c r="Y179" s="325">
        <v>0</v>
      </c>
      <c r="Z179" s="492">
        <f t="shared" si="397"/>
        <v>0</v>
      </c>
      <c r="AA179" s="492">
        <f t="shared" si="398"/>
        <v>0</v>
      </c>
      <c r="AB179" s="494">
        <f t="shared" si="399"/>
        <v>0</v>
      </c>
      <c r="AC179" s="494">
        <f t="shared" si="400"/>
        <v>0</v>
      </c>
      <c r="AD179" s="492">
        <v>0</v>
      </c>
      <c r="AE179" s="753">
        <f t="shared" si="401"/>
        <v>0</v>
      </c>
      <c r="AF179" s="688">
        <v>0</v>
      </c>
      <c r="AG179" s="326">
        <v>0</v>
      </c>
      <c r="AH179" s="326">
        <v>0</v>
      </c>
      <c r="AI179" s="326">
        <v>0</v>
      </c>
      <c r="AJ179" s="326">
        <v>0</v>
      </c>
      <c r="AK179" s="326">
        <v>0</v>
      </c>
      <c r="AL179" s="609">
        <f t="shared" si="402"/>
        <v>0</v>
      </c>
      <c r="AM179" s="493">
        <f>I179+AE179</f>
        <v>2541016</v>
      </c>
      <c r="AN179" s="492">
        <f>J179+V179</f>
        <v>1885027</v>
      </c>
      <c r="AO179" s="573">
        <f t="shared" si="403"/>
        <v>0</v>
      </c>
      <c r="AP179" s="492">
        <f t="shared" si="404"/>
        <v>637139</v>
      </c>
      <c r="AQ179" s="492">
        <f t="shared" si="404"/>
        <v>18850</v>
      </c>
      <c r="AR179" s="492">
        <v>0</v>
      </c>
      <c r="AS179" s="491">
        <f t="shared" si="405"/>
        <v>4.75</v>
      </c>
    </row>
    <row r="180" spans="1:45" s="152" customFormat="1" ht="12.75" customHeight="1" x14ac:dyDescent="0.2">
      <c r="A180" s="140">
        <v>40</v>
      </c>
      <c r="B180" s="141">
        <v>4459</v>
      </c>
      <c r="C180" s="141">
        <v>650037171</v>
      </c>
      <c r="D180" s="141">
        <v>72742356</v>
      </c>
      <c r="E180" s="139" t="s">
        <v>216</v>
      </c>
      <c r="F180" s="141">
        <v>3143</v>
      </c>
      <c r="G180" s="117" t="s">
        <v>795</v>
      </c>
      <c r="H180" s="157" t="s">
        <v>262</v>
      </c>
      <c r="I180" s="580">
        <v>1897736</v>
      </c>
      <c r="J180" s="490">
        <v>1407816</v>
      </c>
      <c r="K180" s="490">
        <v>0</v>
      </c>
      <c r="L180" s="55">
        <v>475842</v>
      </c>
      <c r="M180" s="55">
        <v>14078</v>
      </c>
      <c r="N180" s="55">
        <v>0</v>
      </c>
      <c r="O180" s="614">
        <v>2.78</v>
      </c>
      <c r="P180" s="440">
        <f t="shared" si="395"/>
        <v>0</v>
      </c>
      <c r="Q180" s="325">
        <v>0</v>
      </c>
      <c r="R180" s="325">
        <v>0</v>
      </c>
      <c r="S180" s="325">
        <v>0</v>
      </c>
      <c r="T180" s="325">
        <v>0</v>
      </c>
      <c r="U180" s="325">
        <v>0</v>
      </c>
      <c r="V180" s="492">
        <f t="shared" si="396"/>
        <v>0</v>
      </c>
      <c r="W180" s="325">
        <v>0</v>
      </c>
      <c r="X180" s="325">
        <v>0</v>
      </c>
      <c r="Y180" s="325">
        <v>0</v>
      </c>
      <c r="Z180" s="492">
        <f t="shared" si="397"/>
        <v>0</v>
      </c>
      <c r="AA180" s="492">
        <f t="shared" si="398"/>
        <v>0</v>
      </c>
      <c r="AB180" s="494">
        <f t="shared" si="399"/>
        <v>0</v>
      </c>
      <c r="AC180" s="494">
        <f t="shared" si="400"/>
        <v>0</v>
      </c>
      <c r="AD180" s="492">
        <v>0</v>
      </c>
      <c r="AE180" s="753">
        <f t="shared" si="401"/>
        <v>0</v>
      </c>
      <c r="AF180" s="688">
        <v>0</v>
      </c>
      <c r="AG180" s="326">
        <v>0</v>
      </c>
      <c r="AH180" s="326">
        <v>0</v>
      </c>
      <c r="AI180" s="326">
        <v>0</v>
      </c>
      <c r="AJ180" s="326">
        <v>0</v>
      </c>
      <c r="AK180" s="326">
        <v>0</v>
      </c>
      <c r="AL180" s="609">
        <f t="shared" si="402"/>
        <v>0</v>
      </c>
      <c r="AM180" s="493">
        <f>I180+AE180</f>
        <v>1897736</v>
      </c>
      <c r="AN180" s="492">
        <f>J180+V180</f>
        <v>1407816</v>
      </c>
      <c r="AO180" s="573">
        <f t="shared" si="403"/>
        <v>0</v>
      </c>
      <c r="AP180" s="492">
        <f t="shared" si="404"/>
        <v>475842</v>
      </c>
      <c r="AQ180" s="492">
        <f t="shared" si="404"/>
        <v>14078</v>
      </c>
      <c r="AR180" s="492">
        <v>0</v>
      </c>
      <c r="AS180" s="491">
        <f t="shared" si="405"/>
        <v>2.78</v>
      </c>
    </row>
    <row r="181" spans="1:45" s="152" customFormat="1" ht="12.75" customHeight="1" x14ac:dyDescent="0.2">
      <c r="A181" s="107">
        <v>40</v>
      </c>
      <c r="B181" s="15">
        <v>4459</v>
      </c>
      <c r="C181" s="15">
        <v>650037171</v>
      </c>
      <c r="D181" s="15">
        <v>72742356</v>
      </c>
      <c r="E181" s="116" t="s">
        <v>217</v>
      </c>
      <c r="F181" s="15"/>
      <c r="G181" s="106"/>
      <c r="H181" s="555"/>
      <c r="I181" s="758">
        <v>20565557</v>
      </c>
      <c r="J181" s="343">
        <v>15256348</v>
      </c>
      <c r="K181" s="343">
        <v>0</v>
      </c>
      <c r="L181" s="343">
        <v>5156645</v>
      </c>
      <c r="M181" s="343">
        <v>152564</v>
      </c>
      <c r="N181" s="343">
        <v>0</v>
      </c>
      <c r="O181" s="35">
        <v>25.94</v>
      </c>
      <c r="P181" s="346">
        <f t="shared" ref="P181:AS181" si="406">SUM(P177:P180)</f>
        <v>0</v>
      </c>
      <c r="Q181" s="343">
        <f t="shared" si="406"/>
        <v>0</v>
      </c>
      <c r="R181" s="343">
        <f t="shared" si="406"/>
        <v>0</v>
      </c>
      <c r="S181" s="343">
        <f t="shared" si="406"/>
        <v>0</v>
      </c>
      <c r="T181" s="343">
        <f t="shared" si="406"/>
        <v>0</v>
      </c>
      <c r="U181" s="343">
        <f t="shared" si="406"/>
        <v>0</v>
      </c>
      <c r="V181" s="343">
        <f t="shared" si="406"/>
        <v>0</v>
      </c>
      <c r="W181" s="343">
        <f t="shared" si="406"/>
        <v>0</v>
      </c>
      <c r="X181" s="343">
        <f t="shared" si="406"/>
        <v>0</v>
      </c>
      <c r="Y181" s="343">
        <f t="shared" si="406"/>
        <v>0</v>
      </c>
      <c r="Z181" s="343">
        <f t="shared" si="406"/>
        <v>0</v>
      </c>
      <c r="AA181" s="343">
        <f t="shared" si="406"/>
        <v>0</v>
      </c>
      <c r="AB181" s="343">
        <f t="shared" si="406"/>
        <v>0</v>
      </c>
      <c r="AC181" s="343">
        <f t="shared" si="406"/>
        <v>0</v>
      </c>
      <c r="AD181" s="343">
        <f t="shared" si="406"/>
        <v>0</v>
      </c>
      <c r="AE181" s="763">
        <f t="shared" si="406"/>
        <v>0</v>
      </c>
      <c r="AF181" s="767">
        <f t="shared" si="406"/>
        <v>0</v>
      </c>
      <c r="AG181" s="344">
        <f t="shared" si="406"/>
        <v>0</v>
      </c>
      <c r="AH181" s="344">
        <f t="shared" si="406"/>
        <v>0</v>
      </c>
      <c r="AI181" s="344">
        <f t="shared" si="406"/>
        <v>0</v>
      </c>
      <c r="AJ181" s="344">
        <f t="shared" si="406"/>
        <v>0</v>
      </c>
      <c r="AK181" s="344">
        <f t="shared" si="406"/>
        <v>0</v>
      </c>
      <c r="AL181" s="35">
        <f t="shared" si="406"/>
        <v>0</v>
      </c>
      <c r="AM181" s="346">
        <f t="shared" si="406"/>
        <v>20565557</v>
      </c>
      <c r="AN181" s="343">
        <f t="shared" si="406"/>
        <v>15256348</v>
      </c>
      <c r="AO181" s="343">
        <f t="shared" si="406"/>
        <v>0</v>
      </c>
      <c r="AP181" s="343">
        <f t="shared" si="406"/>
        <v>5156645</v>
      </c>
      <c r="AQ181" s="343">
        <f t="shared" si="406"/>
        <v>152564</v>
      </c>
      <c r="AR181" s="343">
        <f t="shared" si="406"/>
        <v>0</v>
      </c>
      <c r="AS181" s="344">
        <f t="shared" si="406"/>
        <v>25.94</v>
      </c>
    </row>
    <row r="182" spans="1:45" s="152" customFormat="1" ht="12.75" customHeight="1" x14ac:dyDescent="0.2">
      <c r="A182" s="140">
        <v>41</v>
      </c>
      <c r="B182" s="141">
        <v>4424</v>
      </c>
      <c r="C182" s="141">
        <v>600074170</v>
      </c>
      <c r="D182" s="141">
        <v>72741562</v>
      </c>
      <c r="E182" s="139" t="s">
        <v>218</v>
      </c>
      <c r="F182" s="141">
        <v>3111</v>
      </c>
      <c r="G182" s="117" t="s">
        <v>277</v>
      </c>
      <c r="H182" s="560" t="s">
        <v>262</v>
      </c>
      <c r="I182" s="580">
        <v>3153455</v>
      </c>
      <c r="J182" s="490">
        <v>2339358</v>
      </c>
      <c r="K182" s="490">
        <v>0</v>
      </c>
      <c r="L182" s="55">
        <v>790703</v>
      </c>
      <c r="M182" s="55">
        <v>23394</v>
      </c>
      <c r="N182" s="55">
        <v>0</v>
      </c>
      <c r="O182" s="614">
        <v>4.2300000000000004</v>
      </c>
      <c r="P182" s="445">
        <f>W182*-1</f>
        <v>0</v>
      </c>
      <c r="Q182" s="325">
        <v>0</v>
      </c>
      <c r="R182" s="325">
        <v>0</v>
      </c>
      <c r="S182" s="325">
        <v>0</v>
      </c>
      <c r="T182" s="325">
        <v>0</v>
      </c>
      <c r="U182" s="325">
        <v>0</v>
      </c>
      <c r="V182" s="492">
        <f t="shared" ref="V182:V183" si="407">P182+Q182+R182+S182+T182+U182</f>
        <v>0</v>
      </c>
      <c r="W182" s="325">
        <v>0</v>
      </c>
      <c r="X182" s="325">
        <v>0</v>
      </c>
      <c r="Y182" s="325">
        <v>0</v>
      </c>
      <c r="Z182" s="492">
        <f t="shared" ref="Z182:Z183" si="408">W182+X182+Y182</f>
        <v>0</v>
      </c>
      <c r="AA182" s="492">
        <f t="shared" ref="AA182:AA183" si="409">V182+Z182</f>
        <v>0</v>
      </c>
      <c r="AB182" s="494">
        <f t="shared" ref="AB182:AB183" si="410">ROUND((V182+Z182)*33.8%,0)</f>
        <v>0</v>
      </c>
      <c r="AC182" s="494">
        <f t="shared" ref="AC182:AC183" si="411">ROUND(V182*1%,0)</f>
        <v>0</v>
      </c>
      <c r="AD182" s="492">
        <v>0</v>
      </c>
      <c r="AE182" s="753">
        <f t="shared" ref="AE182:AE183" si="412">AA182+AB182+AC182+AD182</f>
        <v>0</v>
      </c>
      <c r="AF182" s="688">
        <v>0</v>
      </c>
      <c r="AG182" s="326">
        <v>0</v>
      </c>
      <c r="AH182" s="326">
        <v>0</v>
      </c>
      <c r="AI182" s="326">
        <v>0</v>
      </c>
      <c r="AJ182" s="326">
        <v>0</v>
      </c>
      <c r="AK182" s="326">
        <v>0</v>
      </c>
      <c r="AL182" s="609">
        <f t="shared" ref="AL182:AL183" si="413">SUM(AF182:AK182)</f>
        <v>0</v>
      </c>
      <c r="AM182" s="493">
        <f>I182+AE182</f>
        <v>3153455</v>
      </c>
      <c r="AN182" s="492">
        <f>J182+V182</f>
        <v>2339358</v>
      </c>
      <c r="AO182" s="573">
        <f t="shared" ref="AO182:AO183" si="414">K182+Z182</f>
        <v>0</v>
      </c>
      <c r="AP182" s="492">
        <f>L182+AB182</f>
        <v>790703</v>
      </c>
      <c r="AQ182" s="492">
        <f>M182+AC182</f>
        <v>23394</v>
      </c>
      <c r="AR182" s="492">
        <v>0</v>
      </c>
      <c r="AS182" s="491">
        <f t="shared" ref="AS182:AS183" si="415">O182+AL182</f>
        <v>4.2300000000000004</v>
      </c>
    </row>
    <row r="183" spans="1:45" s="152" customFormat="1" ht="12.75" customHeight="1" x14ac:dyDescent="0.2">
      <c r="A183" s="140">
        <v>41</v>
      </c>
      <c r="B183" s="141">
        <v>4424</v>
      </c>
      <c r="C183" s="141">
        <v>600074170</v>
      </c>
      <c r="D183" s="141">
        <v>72741562</v>
      </c>
      <c r="E183" s="139" t="s">
        <v>218</v>
      </c>
      <c r="F183" s="141">
        <v>3111</v>
      </c>
      <c r="G183" s="117" t="s">
        <v>278</v>
      </c>
      <c r="H183" s="560" t="s">
        <v>263</v>
      </c>
      <c r="I183" s="580">
        <v>0</v>
      </c>
      <c r="J183" s="490">
        <v>0</v>
      </c>
      <c r="K183" s="490">
        <v>0</v>
      </c>
      <c r="L183" s="55">
        <v>0</v>
      </c>
      <c r="M183" s="55">
        <v>0</v>
      </c>
      <c r="N183" s="55">
        <v>0</v>
      </c>
      <c r="O183" s="614">
        <v>0</v>
      </c>
      <c r="P183" s="440">
        <f>W183*-1</f>
        <v>0</v>
      </c>
      <c r="Q183" s="325">
        <v>0</v>
      </c>
      <c r="R183" s="325">
        <v>0</v>
      </c>
      <c r="S183" s="325">
        <v>0</v>
      </c>
      <c r="T183" s="325">
        <v>0</v>
      </c>
      <c r="U183" s="325">
        <v>0</v>
      </c>
      <c r="V183" s="492">
        <f t="shared" si="407"/>
        <v>0</v>
      </c>
      <c r="W183" s="325">
        <v>0</v>
      </c>
      <c r="X183" s="325">
        <v>0</v>
      </c>
      <c r="Y183" s="325">
        <v>0</v>
      </c>
      <c r="Z183" s="492">
        <f t="shared" si="408"/>
        <v>0</v>
      </c>
      <c r="AA183" s="492">
        <f t="shared" si="409"/>
        <v>0</v>
      </c>
      <c r="AB183" s="494">
        <f t="shared" si="410"/>
        <v>0</v>
      </c>
      <c r="AC183" s="494">
        <f t="shared" si="411"/>
        <v>0</v>
      </c>
      <c r="AD183" s="492">
        <v>0</v>
      </c>
      <c r="AE183" s="753">
        <f t="shared" si="412"/>
        <v>0</v>
      </c>
      <c r="AF183" s="688">
        <v>0</v>
      </c>
      <c r="AG183" s="326">
        <v>0</v>
      </c>
      <c r="AH183" s="326">
        <v>0</v>
      </c>
      <c r="AI183" s="326">
        <v>0</v>
      </c>
      <c r="AJ183" s="326">
        <v>0</v>
      </c>
      <c r="AK183" s="326">
        <v>0</v>
      </c>
      <c r="AL183" s="609">
        <f t="shared" si="413"/>
        <v>0</v>
      </c>
      <c r="AM183" s="493">
        <f>I183+AE183</f>
        <v>0</v>
      </c>
      <c r="AN183" s="492">
        <f>J183+V183</f>
        <v>0</v>
      </c>
      <c r="AO183" s="573">
        <f t="shared" si="414"/>
        <v>0</v>
      </c>
      <c r="AP183" s="492">
        <f>L183+AB183</f>
        <v>0</v>
      </c>
      <c r="AQ183" s="492">
        <f>M183+AC183</f>
        <v>0</v>
      </c>
      <c r="AR183" s="492">
        <v>0</v>
      </c>
      <c r="AS183" s="491">
        <f t="shared" si="415"/>
        <v>0</v>
      </c>
    </row>
    <row r="184" spans="1:45" s="152" customFormat="1" ht="12.75" customHeight="1" x14ac:dyDescent="0.2">
      <c r="A184" s="107">
        <v>41</v>
      </c>
      <c r="B184" s="15">
        <v>4424</v>
      </c>
      <c r="C184" s="15">
        <v>600074170</v>
      </c>
      <c r="D184" s="15">
        <v>72741562</v>
      </c>
      <c r="E184" s="116" t="s">
        <v>219</v>
      </c>
      <c r="F184" s="15"/>
      <c r="G184" s="106"/>
      <c r="H184" s="555"/>
      <c r="I184" s="758">
        <v>3153455</v>
      </c>
      <c r="J184" s="343">
        <v>2339358</v>
      </c>
      <c r="K184" s="343">
        <v>0</v>
      </c>
      <c r="L184" s="343">
        <v>790703</v>
      </c>
      <c r="M184" s="343">
        <v>23394</v>
      </c>
      <c r="N184" s="343">
        <v>0</v>
      </c>
      <c r="O184" s="35">
        <v>4.2300000000000004</v>
      </c>
      <c r="P184" s="346">
        <f t="shared" ref="P184:AS184" si="416">SUM(P182:P183)</f>
        <v>0</v>
      </c>
      <c r="Q184" s="343">
        <f t="shared" si="416"/>
        <v>0</v>
      </c>
      <c r="R184" s="343">
        <f t="shared" si="416"/>
        <v>0</v>
      </c>
      <c r="S184" s="343">
        <f t="shared" si="416"/>
        <v>0</v>
      </c>
      <c r="T184" s="343">
        <f t="shared" si="416"/>
        <v>0</v>
      </c>
      <c r="U184" s="343">
        <f t="shared" si="416"/>
        <v>0</v>
      </c>
      <c r="V184" s="343">
        <f t="shared" si="416"/>
        <v>0</v>
      </c>
      <c r="W184" s="343">
        <f t="shared" si="416"/>
        <v>0</v>
      </c>
      <c r="X184" s="343">
        <f t="shared" si="416"/>
        <v>0</v>
      </c>
      <c r="Y184" s="343">
        <f t="shared" si="416"/>
        <v>0</v>
      </c>
      <c r="Z184" s="343">
        <f t="shared" si="416"/>
        <v>0</v>
      </c>
      <c r="AA184" s="343">
        <f t="shared" si="416"/>
        <v>0</v>
      </c>
      <c r="AB184" s="343">
        <f t="shared" si="416"/>
        <v>0</v>
      </c>
      <c r="AC184" s="343">
        <f t="shared" si="416"/>
        <v>0</v>
      </c>
      <c r="AD184" s="343">
        <f t="shared" si="416"/>
        <v>0</v>
      </c>
      <c r="AE184" s="763">
        <f t="shared" si="416"/>
        <v>0</v>
      </c>
      <c r="AF184" s="767">
        <f t="shared" si="416"/>
        <v>0</v>
      </c>
      <c r="AG184" s="344">
        <f t="shared" si="416"/>
        <v>0</v>
      </c>
      <c r="AH184" s="344">
        <f t="shared" si="416"/>
        <v>0</v>
      </c>
      <c r="AI184" s="344">
        <f t="shared" si="416"/>
        <v>0</v>
      </c>
      <c r="AJ184" s="344">
        <f t="shared" si="416"/>
        <v>0</v>
      </c>
      <c r="AK184" s="344">
        <f t="shared" si="416"/>
        <v>0</v>
      </c>
      <c r="AL184" s="35">
        <f t="shared" si="416"/>
        <v>0</v>
      </c>
      <c r="AM184" s="346">
        <f t="shared" si="416"/>
        <v>3153455</v>
      </c>
      <c r="AN184" s="343">
        <f t="shared" si="416"/>
        <v>2339358</v>
      </c>
      <c r="AO184" s="343">
        <f t="shared" si="416"/>
        <v>0</v>
      </c>
      <c r="AP184" s="343">
        <f t="shared" si="416"/>
        <v>790703</v>
      </c>
      <c r="AQ184" s="343">
        <f t="shared" si="416"/>
        <v>23394</v>
      </c>
      <c r="AR184" s="343">
        <f t="shared" si="416"/>
        <v>0</v>
      </c>
      <c r="AS184" s="344">
        <f t="shared" si="416"/>
        <v>4.2300000000000004</v>
      </c>
    </row>
    <row r="185" spans="1:45" s="152" customFormat="1" ht="12.75" customHeight="1" x14ac:dyDescent="0.2">
      <c r="A185" s="140">
        <v>42</v>
      </c>
      <c r="B185" s="141">
        <v>4489</v>
      </c>
      <c r="C185" s="141">
        <v>600075036</v>
      </c>
      <c r="D185" s="141">
        <v>72742607</v>
      </c>
      <c r="E185" s="139" t="s">
        <v>220</v>
      </c>
      <c r="F185" s="141">
        <v>3111</v>
      </c>
      <c r="G185" s="117" t="s">
        <v>277</v>
      </c>
      <c r="H185" s="560" t="s">
        <v>262</v>
      </c>
      <c r="I185" s="580">
        <v>3244764</v>
      </c>
      <c r="J185" s="490">
        <v>2407095</v>
      </c>
      <c r="K185" s="490">
        <v>0</v>
      </c>
      <c r="L185" s="55">
        <v>813598</v>
      </c>
      <c r="M185" s="55">
        <v>24071</v>
      </c>
      <c r="N185" s="55">
        <v>0</v>
      </c>
      <c r="O185" s="614">
        <v>4</v>
      </c>
      <c r="P185" s="445">
        <f t="shared" ref="P185:P188" si="417">W185*-1</f>
        <v>0</v>
      </c>
      <c r="Q185" s="325">
        <v>0</v>
      </c>
      <c r="R185" s="325">
        <v>0</v>
      </c>
      <c r="S185" s="325">
        <v>0</v>
      </c>
      <c r="T185" s="325">
        <v>0</v>
      </c>
      <c r="U185" s="325">
        <v>0</v>
      </c>
      <c r="V185" s="492">
        <f t="shared" ref="V185:V188" si="418">P185+Q185+R185+S185+T185+U185</f>
        <v>0</v>
      </c>
      <c r="W185" s="325">
        <v>0</v>
      </c>
      <c r="X185" s="325">
        <v>0</v>
      </c>
      <c r="Y185" s="325">
        <v>0</v>
      </c>
      <c r="Z185" s="492">
        <f t="shared" ref="Z185:Z188" si="419">W185+X185+Y185</f>
        <v>0</v>
      </c>
      <c r="AA185" s="492">
        <f t="shared" ref="AA185:AA188" si="420">V185+Z185</f>
        <v>0</v>
      </c>
      <c r="AB185" s="494">
        <f t="shared" ref="AB185:AB188" si="421">ROUND((V185+Z185)*33.8%,0)</f>
        <v>0</v>
      </c>
      <c r="AC185" s="494">
        <f t="shared" ref="AC185:AC188" si="422">ROUND(V185*1%,0)</f>
        <v>0</v>
      </c>
      <c r="AD185" s="492">
        <v>0</v>
      </c>
      <c r="AE185" s="753">
        <f t="shared" ref="AE185:AE188" si="423">AA185+AB185+AC185+AD185</f>
        <v>0</v>
      </c>
      <c r="AF185" s="688">
        <v>0</v>
      </c>
      <c r="AG185" s="326">
        <v>0</v>
      </c>
      <c r="AH185" s="326">
        <v>0</v>
      </c>
      <c r="AI185" s="326">
        <v>0</v>
      </c>
      <c r="AJ185" s="326">
        <v>0</v>
      </c>
      <c r="AK185" s="326">
        <v>0</v>
      </c>
      <c r="AL185" s="609">
        <f t="shared" ref="AL185:AL188" si="424">SUM(AF185:AK185)</f>
        <v>0</v>
      </c>
      <c r="AM185" s="493">
        <f>I185+AE185</f>
        <v>3244764</v>
      </c>
      <c r="AN185" s="492">
        <f>J185+V185</f>
        <v>2407095</v>
      </c>
      <c r="AO185" s="573">
        <f t="shared" ref="AO185:AO188" si="425">K185+Z185</f>
        <v>0</v>
      </c>
      <c r="AP185" s="492">
        <f t="shared" ref="AP185:AQ188" si="426">L185+AB185</f>
        <v>813598</v>
      </c>
      <c r="AQ185" s="492">
        <f t="shared" si="426"/>
        <v>24071</v>
      </c>
      <c r="AR185" s="492">
        <v>0</v>
      </c>
      <c r="AS185" s="491">
        <f t="shared" ref="AS185:AS188" si="427">O185+AL185</f>
        <v>4</v>
      </c>
    </row>
    <row r="186" spans="1:45" s="152" customFormat="1" ht="12.75" customHeight="1" x14ac:dyDescent="0.2">
      <c r="A186" s="140">
        <v>42</v>
      </c>
      <c r="B186" s="141">
        <v>4489</v>
      </c>
      <c r="C186" s="141">
        <v>600075036</v>
      </c>
      <c r="D186" s="141">
        <v>72742607</v>
      </c>
      <c r="E186" s="139" t="s">
        <v>220</v>
      </c>
      <c r="F186" s="141">
        <v>3117</v>
      </c>
      <c r="G186" s="117" t="s">
        <v>280</v>
      </c>
      <c r="H186" s="560" t="s">
        <v>262</v>
      </c>
      <c r="I186" s="580">
        <v>3947046</v>
      </c>
      <c r="J186" s="490">
        <v>2928075</v>
      </c>
      <c r="K186" s="490">
        <v>0</v>
      </c>
      <c r="L186" s="55">
        <v>989690</v>
      </c>
      <c r="M186" s="55">
        <v>29281</v>
      </c>
      <c r="N186" s="55">
        <v>0</v>
      </c>
      <c r="O186" s="614">
        <v>4.2300000000000004</v>
      </c>
      <c r="P186" s="440">
        <f t="shared" si="417"/>
        <v>0</v>
      </c>
      <c r="Q186" s="325">
        <v>0</v>
      </c>
      <c r="R186" s="325">
        <v>0</v>
      </c>
      <c r="S186" s="325">
        <v>0</v>
      </c>
      <c r="T186" s="325">
        <v>0</v>
      </c>
      <c r="U186" s="325">
        <v>0</v>
      </c>
      <c r="V186" s="492">
        <f t="shared" si="418"/>
        <v>0</v>
      </c>
      <c r="W186" s="325">
        <v>0</v>
      </c>
      <c r="X186" s="325">
        <v>0</v>
      </c>
      <c r="Y186" s="325">
        <v>0</v>
      </c>
      <c r="Z186" s="492">
        <f t="shared" si="419"/>
        <v>0</v>
      </c>
      <c r="AA186" s="492">
        <f t="shared" si="420"/>
        <v>0</v>
      </c>
      <c r="AB186" s="494">
        <f t="shared" si="421"/>
        <v>0</v>
      </c>
      <c r="AC186" s="494">
        <f t="shared" si="422"/>
        <v>0</v>
      </c>
      <c r="AD186" s="492">
        <v>0</v>
      </c>
      <c r="AE186" s="753">
        <f t="shared" si="423"/>
        <v>0</v>
      </c>
      <c r="AF186" s="688">
        <v>0</v>
      </c>
      <c r="AG186" s="326">
        <v>0</v>
      </c>
      <c r="AH186" s="326">
        <v>0</v>
      </c>
      <c r="AI186" s="326">
        <v>0</v>
      </c>
      <c r="AJ186" s="326">
        <v>0</v>
      </c>
      <c r="AK186" s="326">
        <v>0</v>
      </c>
      <c r="AL186" s="609">
        <f t="shared" si="424"/>
        <v>0</v>
      </c>
      <c r="AM186" s="493">
        <f>I186+AE186</f>
        <v>3947046</v>
      </c>
      <c r="AN186" s="492">
        <f>J186+V186</f>
        <v>2928075</v>
      </c>
      <c r="AO186" s="573">
        <f t="shared" si="425"/>
        <v>0</v>
      </c>
      <c r="AP186" s="492">
        <f t="shared" si="426"/>
        <v>989690</v>
      </c>
      <c r="AQ186" s="492">
        <f t="shared" si="426"/>
        <v>29281</v>
      </c>
      <c r="AR186" s="492">
        <v>0</v>
      </c>
      <c r="AS186" s="491">
        <f t="shared" si="427"/>
        <v>4.2300000000000004</v>
      </c>
    </row>
    <row r="187" spans="1:45" s="152" customFormat="1" ht="12.75" customHeight="1" x14ac:dyDescent="0.2">
      <c r="A187" s="140">
        <v>42</v>
      </c>
      <c r="B187" s="141">
        <v>4489</v>
      </c>
      <c r="C187" s="141">
        <v>600075036</v>
      </c>
      <c r="D187" s="141">
        <v>72742607</v>
      </c>
      <c r="E187" s="139" t="s">
        <v>220</v>
      </c>
      <c r="F187" s="141">
        <v>3117</v>
      </c>
      <c r="G187" s="117" t="s">
        <v>278</v>
      </c>
      <c r="H187" s="560" t="s">
        <v>263</v>
      </c>
      <c r="I187" s="580">
        <v>908439</v>
      </c>
      <c r="J187" s="490">
        <v>673916</v>
      </c>
      <c r="K187" s="490">
        <v>0</v>
      </c>
      <c r="L187" s="55">
        <v>227784</v>
      </c>
      <c r="M187" s="55">
        <v>6739</v>
      </c>
      <c r="N187" s="55">
        <v>0</v>
      </c>
      <c r="O187" s="614">
        <v>1.89</v>
      </c>
      <c r="P187" s="440">
        <f t="shared" si="417"/>
        <v>0</v>
      </c>
      <c r="Q187" s="325">
        <v>0</v>
      </c>
      <c r="R187" s="325">
        <v>0</v>
      </c>
      <c r="S187" s="325">
        <v>0</v>
      </c>
      <c r="T187" s="325">
        <v>0</v>
      </c>
      <c r="U187" s="325">
        <v>0</v>
      </c>
      <c r="V187" s="492">
        <f t="shared" si="418"/>
        <v>0</v>
      </c>
      <c r="W187" s="325">
        <v>0</v>
      </c>
      <c r="X187" s="325">
        <v>0</v>
      </c>
      <c r="Y187" s="325">
        <v>0</v>
      </c>
      <c r="Z187" s="492">
        <f t="shared" si="419"/>
        <v>0</v>
      </c>
      <c r="AA187" s="492">
        <f t="shared" si="420"/>
        <v>0</v>
      </c>
      <c r="AB187" s="494">
        <f t="shared" si="421"/>
        <v>0</v>
      </c>
      <c r="AC187" s="494">
        <f t="shared" si="422"/>
        <v>0</v>
      </c>
      <c r="AD187" s="492">
        <v>0</v>
      </c>
      <c r="AE187" s="753">
        <f t="shared" si="423"/>
        <v>0</v>
      </c>
      <c r="AF187" s="688">
        <v>0</v>
      </c>
      <c r="AG187" s="326">
        <v>0</v>
      </c>
      <c r="AH187" s="326">
        <v>0</v>
      </c>
      <c r="AI187" s="326">
        <v>0</v>
      </c>
      <c r="AJ187" s="326">
        <v>0</v>
      </c>
      <c r="AK187" s="326">
        <v>0</v>
      </c>
      <c r="AL187" s="609">
        <f t="shared" si="424"/>
        <v>0</v>
      </c>
      <c r="AM187" s="493">
        <f>I187+AE187</f>
        <v>908439</v>
      </c>
      <c r="AN187" s="492">
        <f>J187+V187</f>
        <v>673916</v>
      </c>
      <c r="AO187" s="573">
        <f t="shared" si="425"/>
        <v>0</v>
      </c>
      <c r="AP187" s="492">
        <f t="shared" si="426"/>
        <v>227784</v>
      </c>
      <c r="AQ187" s="492">
        <f t="shared" si="426"/>
        <v>6739</v>
      </c>
      <c r="AR187" s="492">
        <v>0</v>
      </c>
      <c r="AS187" s="491">
        <f t="shared" si="427"/>
        <v>1.89</v>
      </c>
    </row>
    <row r="188" spans="1:45" s="152" customFormat="1" ht="12.75" customHeight="1" x14ac:dyDescent="0.2">
      <c r="A188" s="140">
        <v>42</v>
      </c>
      <c r="B188" s="141">
        <v>4489</v>
      </c>
      <c r="C188" s="141">
        <v>600075036</v>
      </c>
      <c r="D188" s="141">
        <v>72742607</v>
      </c>
      <c r="E188" s="139" t="s">
        <v>220</v>
      </c>
      <c r="F188" s="141">
        <v>3143</v>
      </c>
      <c r="G188" s="117" t="s">
        <v>794</v>
      </c>
      <c r="H188" s="157" t="s">
        <v>262</v>
      </c>
      <c r="I188" s="580">
        <v>1419963</v>
      </c>
      <c r="J188" s="490">
        <v>1047430</v>
      </c>
      <c r="K188" s="490">
        <v>6000</v>
      </c>
      <c r="L188" s="55">
        <v>356059</v>
      </c>
      <c r="M188" s="55">
        <v>10474</v>
      </c>
      <c r="N188" s="55">
        <v>0</v>
      </c>
      <c r="O188" s="614">
        <v>1.91</v>
      </c>
      <c r="P188" s="440">
        <f t="shared" si="417"/>
        <v>-4000</v>
      </c>
      <c r="Q188" s="325">
        <v>0</v>
      </c>
      <c r="R188" s="325">
        <v>0</v>
      </c>
      <c r="S188" s="325">
        <v>0</v>
      </c>
      <c r="T188" s="325">
        <v>0</v>
      </c>
      <c r="U188" s="325">
        <v>0</v>
      </c>
      <c r="V188" s="492">
        <f t="shared" si="418"/>
        <v>-4000</v>
      </c>
      <c r="W188" s="325">
        <v>4000</v>
      </c>
      <c r="X188" s="325">
        <v>0</v>
      </c>
      <c r="Y188" s="325">
        <v>0</v>
      </c>
      <c r="Z188" s="492">
        <f t="shared" si="419"/>
        <v>4000</v>
      </c>
      <c r="AA188" s="492">
        <f t="shared" si="420"/>
        <v>0</v>
      </c>
      <c r="AB188" s="494">
        <f t="shared" si="421"/>
        <v>0</v>
      </c>
      <c r="AC188" s="494">
        <f t="shared" si="422"/>
        <v>-40</v>
      </c>
      <c r="AD188" s="492">
        <v>0</v>
      </c>
      <c r="AE188" s="753">
        <f t="shared" si="423"/>
        <v>-40</v>
      </c>
      <c r="AF188" s="688">
        <v>-0.01</v>
      </c>
      <c r="AG188" s="326">
        <v>0</v>
      </c>
      <c r="AH188" s="326">
        <v>0</v>
      </c>
      <c r="AI188" s="326">
        <v>0</v>
      </c>
      <c r="AJ188" s="326">
        <v>0</v>
      </c>
      <c r="AK188" s="326">
        <v>0</v>
      </c>
      <c r="AL188" s="609">
        <f t="shared" si="424"/>
        <v>-0.01</v>
      </c>
      <c r="AM188" s="493">
        <f>I188+AE188</f>
        <v>1419923</v>
      </c>
      <c r="AN188" s="492">
        <f>J188+V188</f>
        <v>1043430</v>
      </c>
      <c r="AO188" s="573">
        <f t="shared" si="425"/>
        <v>10000</v>
      </c>
      <c r="AP188" s="492">
        <f t="shared" si="426"/>
        <v>356059</v>
      </c>
      <c r="AQ188" s="492">
        <f t="shared" si="426"/>
        <v>10434</v>
      </c>
      <c r="AR188" s="492">
        <v>0</v>
      </c>
      <c r="AS188" s="491">
        <f t="shared" si="427"/>
        <v>1.9</v>
      </c>
    </row>
    <row r="189" spans="1:45" s="152" customFormat="1" ht="12.75" customHeight="1" x14ac:dyDescent="0.2">
      <c r="A189" s="107">
        <v>42</v>
      </c>
      <c r="B189" s="15">
        <v>4489</v>
      </c>
      <c r="C189" s="15">
        <v>600075036</v>
      </c>
      <c r="D189" s="15">
        <v>72742607</v>
      </c>
      <c r="E189" s="116" t="s">
        <v>221</v>
      </c>
      <c r="F189" s="15"/>
      <c r="G189" s="106"/>
      <c r="H189" s="555"/>
      <c r="I189" s="758">
        <v>9520212</v>
      </c>
      <c r="J189" s="343">
        <v>7056516</v>
      </c>
      <c r="K189" s="343">
        <v>6000</v>
      </c>
      <c r="L189" s="343">
        <v>2387131</v>
      </c>
      <c r="M189" s="343">
        <v>70565</v>
      </c>
      <c r="N189" s="343">
        <v>0</v>
      </c>
      <c r="O189" s="35">
        <v>12.030000000000001</v>
      </c>
      <c r="P189" s="346">
        <f t="shared" ref="P189:AS189" si="428">SUM(P185:P188)</f>
        <v>-4000</v>
      </c>
      <c r="Q189" s="343">
        <f t="shared" si="428"/>
        <v>0</v>
      </c>
      <c r="R189" s="343">
        <f t="shared" si="428"/>
        <v>0</v>
      </c>
      <c r="S189" s="343">
        <f t="shared" si="428"/>
        <v>0</v>
      </c>
      <c r="T189" s="343">
        <f t="shared" si="428"/>
        <v>0</v>
      </c>
      <c r="U189" s="343">
        <f t="shared" si="428"/>
        <v>0</v>
      </c>
      <c r="V189" s="343">
        <f t="shared" si="428"/>
        <v>-4000</v>
      </c>
      <c r="W189" s="343">
        <f t="shared" si="428"/>
        <v>4000</v>
      </c>
      <c r="X189" s="343">
        <f t="shared" si="428"/>
        <v>0</v>
      </c>
      <c r="Y189" s="343">
        <f t="shared" si="428"/>
        <v>0</v>
      </c>
      <c r="Z189" s="343">
        <f t="shared" si="428"/>
        <v>4000</v>
      </c>
      <c r="AA189" s="343">
        <f t="shared" si="428"/>
        <v>0</v>
      </c>
      <c r="AB189" s="343">
        <f t="shared" si="428"/>
        <v>0</v>
      </c>
      <c r="AC189" s="343">
        <f t="shared" si="428"/>
        <v>-40</v>
      </c>
      <c r="AD189" s="343">
        <f t="shared" si="428"/>
        <v>0</v>
      </c>
      <c r="AE189" s="763">
        <f t="shared" si="428"/>
        <v>-40</v>
      </c>
      <c r="AF189" s="767">
        <f t="shared" si="428"/>
        <v>-0.01</v>
      </c>
      <c r="AG189" s="344">
        <f t="shared" si="428"/>
        <v>0</v>
      </c>
      <c r="AH189" s="344">
        <f t="shared" si="428"/>
        <v>0</v>
      </c>
      <c r="AI189" s="344">
        <f t="shared" si="428"/>
        <v>0</v>
      </c>
      <c r="AJ189" s="344">
        <f t="shared" si="428"/>
        <v>0</v>
      </c>
      <c r="AK189" s="344">
        <f t="shared" si="428"/>
        <v>0</v>
      </c>
      <c r="AL189" s="35">
        <f t="shared" si="428"/>
        <v>-0.01</v>
      </c>
      <c r="AM189" s="346">
        <f t="shared" si="428"/>
        <v>9520172</v>
      </c>
      <c r="AN189" s="343">
        <f t="shared" si="428"/>
        <v>7052516</v>
      </c>
      <c r="AO189" s="343">
        <f t="shared" si="428"/>
        <v>10000</v>
      </c>
      <c r="AP189" s="343">
        <f t="shared" si="428"/>
        <v>2387131</v>
      </c>
      <c r="AQ189" s="343">
        <f t="shared" si="428"/>
        <v>70525</v>
      </c>
      <c r="AR189" s="343">
        <f t="shared" si="428"/>
        <v>0</v>
      </c>
      <c r="AS189" s="344">
        <f t="shared" si="428"/>
        <v>12.020000000000001</v>
      </c>
    </row>
    <row r="190" spans="1:45" s="152" customFormat="1" ht="12.75" customHeight="1" x14ac:dyDescent="0.2">
      <c r="A190" s="140">
        <v>43</v>
      </c>
      <c r="B190" s="141">
        <v>4426</v>
      </c>
      <c r="C190" s="141">
        <v>600074129</v>
      </c>
      <c r="D190" s="141">
        <v>72742160</v>
      </c>
      <c r="E190" s="139" t="s">
        <v>222</v>
      </c>
      <c r="F190" s="141">
        <v>3111</v>
      </c>
      <c r="G190" s="117" t="s">
        <v>277</v>
      </c>
      <c r="H190" s="560" t="s">
        <v>262</v>
      </c>
      <c r="I190" s="580">
        <v>3212407</v>
      </c>
      <c r="J190" s="490">
        <v>2383091</v>
      </c>
      <c r="K190" s="490">
        <v>0</v>
      </c>
      <c r="L190" s="55">
        <v>805485</v>
      </c>
      <c r="M190" s="55">
        <v>23831</v>
      </c>
      <c r="N190" s="55">
        <v>0</v>
      </c>
      <c r="O190" s="614">
        <v>4</v>
      </c>
      <c r="P190" s="445">
        <f>W190*-1</f>
        <v>0</v>
      </c>
      <c r="Q190" s="325">
        <v>0</v>
      </c>
      <c r="R190" s="325">
        <v>0</v>
      </c>
      <c r="S190" s="325">
        <v>0</v>
      </c>
      <c r="T190" s="325">
        <v>0</v>
      </c>
      <c r="U190" s="325">
        <v>0</v>
      </c>
      <c r="V190" s="492">
        <f t="shared" ref="V190:V191" si="429">P190+Q190+R190+S190+T190+U190</f>
        <v>0</v>
      </c>
      <c r="W190" s="325">
        <v>0</v>
      </c>
      <c r="X190" s="325">
        <v>0</v>
      </c>
      <c r="Y190" s="325">
        <v>0</v>
      </c>
      <c r="Z190" s="492">
        <f t="shared" ref="Z190:Z191" si="430">W190+X190+Y190</f>
        <v>0</v>
      </c>
      <c r="AA190" s="492">
        <f t="shared" ref="AA190:AA191" si="431">V190+Z190</f>
        <v>0</v>
      </c>
      <c r="AB190" s="494">
        <f t="shared" ref="AB190:AB191" si="432">ROUND((V190+Z190)*33.8%,0)</f>
        <v>0</v>
      </c>
      <c r="AC190" s="494">
        <f t="shared" ref="AC190:AC191" si="433">ROUND(V190*1%,0)</f>
        <v>0</v>
      </c>
      <c r="AD190" s="492">
        <v>0</v>
      </c>
      <c r="AE190" s="753">
        <f t="shared" ref="AE190:AE191" si="434">AA190+AB190+AC190+AD190</f>
        <v>0</v>
      </c>
      <c r="AF190" s="688">
        <v>0</v>
      </c>
      <c r="AG190" s="326">
        <v>0</v>
      </c>
      <c r="AH190" s="326">
        <v>0</v>
      </c>
      <c r="AI190" s="326">
        <v>0</v>
      </c>
      <c r="AJ190" s="326">
        <v>0</v>
      </c>
      <c r="AK190" s="326">
        <v>0</v>
      </c>
      <c r="AL190" s="609">
        <f t="shared" ref="AL190:AL191" si="435">SUM(AF190:AK190)</f>
        <v>0</v>
      </c>
      <c r="AM190" s="493">
        <f>I190+AE190</f>
        <v>3212407</v>
      </c>
      <c r="AN190" s="492">
        <f>J190+V190</f>
        <v>2383091</v>
      </c>
      <c r="AO190" s="573">
        <f t="shared" ref="AO190:AO191" si="436">K190+Z190</f>
        <v>0</v>
      </c>
      <c r="AP190" s="492">
        <f>L190+AB190</f>
        <v>805485</v>
      </c>
      <c r="AQ190" s="492">
        <f>M190+AC190</f>
        <v>23831</v>
      </c>
      <c r="AR190" s="492">
        <v>0</v>
      </c>
      <c r="AS190" s="491">
        <f t="shared" ref="AS190:AS191" si="437">O190+AL190</f>
        <v>4</v>
      </c>
    </row>
    <row r="191" spans="1:45" s="152" customFormat="1" ht="12.75" customHeight="1" x14ac:dyDescent="0.2">
      <c r="A191" s="140">
        <v>43</v>
      </c>
      <c r="B191" s="141">
        <v>4426</v>
      </c>
      <c r="C191" s="141">
        <v>600074129</v>
      </c>
      <c r="D191" s="141">
        <v>72742160</v>
      </c>
      <c r="E191" s="139" t="s">
        <v>222</v>
      </c>
      <c r="F191" s="141">
        <v>3111</v>
      </c>
      <c r="G191" s="117" t="s">
        <v>278</v>
      </c>
      <c r="H191" s="560" t="s">
        <v>263</v>
      </c>
      <c r="I191" s="580">
        <v>401213</v>
      </c>
      <c r="J191" s="490">
        <v>297636</v>
      </c>
      <c r="K191" s="490">
        <v>0</v>
      </c>
      <c r="L191" s="55">
        <v>100601</v>
      </c>
      <c r="M191" s="55">
        <v>2976</v>
      </c>
      <c r="N191" s="55">
        <v>0</v>
      </c>
      <c r="O191" s="614">
        <v>0.75</v>
      </c>
      <c r="P191" s="440">
        <f>W191*-1</f>
        <v>0</v>
      </c>
      <c r="Q191" s="325">
        <v>0</v>
      </c>
      <c r="R191" s="325">
        <v>0</v>
      </c>
      <c r="S191" s="325">
        <v>0</v>
      </c>
      <c r="T191" s="325">
        <v>0</v>
      </c>
      <c r="U191" s="325">
        <v>0</v>
      </c>
      <c r="V191" s="492">
        <f t="shared" si="429"/>
        <v>0</v>
      </c>
      <c r="W191" s="325">
        <v>0</v>
      </c>
      <c r="X191" s="325">
        <v>0</v>
      </c>
      <c r="Y191" s="325">
        <v>0</v>
      </c>
      <c r="Z191" s="492">
        <f t="shared" si="430"/>
        <v>0</v>
      </c>
      <c r="AA191" s="492">
        <f t="shared" si="431"/>
        <v>0</v>
      </c>
      <c r="AB191" s="494">
        <f t="shared" si="432"/>
        <v>0</v>
      </c>
      <c r="AC191" s="494">
        <f t="shared" si="433"/>
        <v>0</v>
      </c>
      <c r="AD191" s="492">
        <v>0</v>
      </c>
      <c r="AE191" s="753">
        <f t="shared" si="434"/>
        <v>0</v>
      </c>
      <c r="AF191" s="688">
        <v>0</v>
      </c>
      <c r="AG191" s="326">
        <v>0</v>
      </c>
      <c r="AH191" s="326">
        <v>0</v>
      </c>
      <c r="AI191" s="326">
        <v>0</v>
      </c>
      <c r="AJ191" s="326">
        <v>0</v>
      </c>
      <c r="AK191" s="326">
        <v>0</v>
      </c>
      <c r="AL191" s="609">
        <f t="shared" si="435"/>
        <v>0</v>
      </c>
      <c r="AM191" s="493">
        <f>I191+AE191</f>
        <v>401213</v>
      </c>
      <c r="AN191" s="492">
        <f>J191+V191</f>
        <v>297636</v>
      </c>
      <c r="AO191" s="573">
        <f t="shared" si="436"/>
        <v>0</v>
      </c>
      <c r="AP191" s="492">
        <f>L191+AB191</f>
        <v>100601</v>
      </c>
      <c r="AQ191" s="492">
        <f>M191+AC191</f>
        <v>2976</v>
      </c>
      <c r="AR191" s="492">
        <v>0</v>
      </c>
      <c r="AS191" s="491">
        <f t="shared" si="437"/>
        <v>0.75</v>
      </c>
    </row>
    <row r="192" spans="1:45" s="152" customFormat="1" ht="12.75" customHeight="1" x14ac:dyDescent="0.2">
      <c r="A192" s="107">
        <v>43</v>
      </c>
      <c r="B192" s="15">
        <v>4426</v>
      </c>
      <c r="C192" s="15">
        <v>600074129</v>
      </c>
      <c r="D192" s="15">
        <v>72742160</v>
      </c>
      <c r="E192" s="116" t="s">
        <v>223</v>
      </c>
      <c r="F192" s="15"/>
      <c r="G192" s="106"/>
      <c r="H192" s="555"/>
      <c r="I192" s="757">
        <v>3613620</v>
      </c>
      <c r="J192" s="341">
        <v>2680727</v>
      </c>
      <c r="K192" s="341">
        <v>0</v>
      </c>
      <c r="L192" s="341">
        <v>906086</v>
      </c>
      <c r="M192" s="341">
        <v>26807</v>
      </c>
      <c r="N192" s="341">
        <v>0</v>
      </c>
      <c r="O192" s="36">
        <v>4.75</v>
      </c>
      <c r="P192" s="345">
        <f t="shared" ref="P192:AS192" si="438">SUM(P190:P191)</f>
        <v>0</v>
      </c>
      <c r="Q192" s="341">
        <f t="shared" si="438"/>
        <v>0</v>
      </c>
      <c r="R192" s="341">
        <f t="shared" si="438"/>
        <v>0</v>
      </c>
      <c r="S192" s="341">
        <f t="shared" si="438"/>
        <v>0</v>
      </c>
      <c r="T192" s="341">
        <f t="shared" si="438"/>
        <v>0</v>
      </c>
      <c r="U192" s="341">
        <f t="shared" si="438"/>
        <v>0</v>
      </c>
      <c r="V192" s="341">
        <f t="shared" si="438"/>
        <v>0</v>
      </c>
      <c r="W192" s="341">
        <f t="shared" si="438"/>
        <v>0</v>
      </c>
      <c r="X192" s="341">
        <f t="shared" si="438"/>
        <v>0</v>
      </c>
      <c r="Y192" s="341">
        <f t="shared" si="438"/>
        <v>0</v>
      </c>
      <c r="Z192" s="341">
        <f t="shared" si="438"/>
        <v>0</v>
      </c>
      <c r="AA192" s="341">
        <f t="shared" si="438"/>
        <v>0</v>
      </c>
      <c r="AB192" s="341">
        <f t="shared" si="438"/>
        <v>0</v>
      </c>
      <c r="AC192" s="341">
        <f t="shared" si="438"/>
        <v>0</v>
      </c>
      <c r="AD192" s="341">
        <f t="shared" si="438"/>
        <v>0</v>
      </c>
      <c r="AE192" s="762">
        <f t="shared" si="438"/>
        <v>0</v>
      </c>
      <c r="AF192" s="766">
        <f t="shared" si="438"/>
        <v>0</v>
      </c>
      <c r="AG192" s="342">
        <f t="shared" si="438"/>
        <v>0</v>
      </c>
      <c r="AH192" s="342">
        <f t="shared" si="438"/>
        <v>0</v>
      </c>
      <c r="AI192" s="342">
        <f t="shared" si="438"/>
        <v>0</v>
      </c>
      <c r="AJ192" s="342">
        <f t="shared" si="438"/>
        <v>0</v>
      </c>
      <c r="AK192" s="342">
        <f t="shared" si="438"/>
        <v>0</v>
      </c>
      <c r="AL192" s="36">
        <f t="shared" si="438"/>
        <v>0</v>
      </c>
      <c r="AM192" s="345">
        <f t="shared" si="438"/>
        <v>3613620</v>
      </c>
      <c r="AN192" s="341">
        <f t="shared" si="438"/>
        <v>2680727</v>
      </c>
      <c r="AO192" s="341">
        <f t="shared" si="438"/>
        <v>0</v>
      </c>
      <c r="AP192" s="341">
        <f t="shared" si="438"/>
        <v>906086</v>
      </c>
      <c r="AQ192" s="341">
        <f t="shared" si="438"/>
        <v>26807</v>
      </c>
      <c r="AR192" s="341">
        <f t="shared" si="438"/>
        <v>0</v>
      </c>
      <c r="AS192" s="342">
        <f t="shared" si="438"/>
        <v>4.75</v>
      </c>
    </row>
    <row r="193" spans="1:45" s="152" customFormat="1" ht="12.75" customHeight="1" x14ac:dyDescent="0.2">
      <c r="A193" s="140">
        <v>44</v>
      </c>
      <c r="B193" s="141">
        <v>4461</v>
      </c>
      <c r="C193" s="141">
        <v>600074765</v>
      </c>
      <c r="D193" s="141">
        <v>46750088</v>
      </c>
      <c r="E193" s="139" t="s">
        <v>224</v>
      </c>
      <c r="F193" s="141">
        <v>3111</v>
      </c>
      <c r="G193" s="117" t="s">
        <v>277</v>
      </c>
      <c r="H193" s="560" t="s">
        <v>262</v>
      </c>
      <c r="I193" s="580">
        <v>9326328</v>
      </c>
      <c r="J193" s="490">
        <v>6894819</v>
      </c>
      <c r="K193" s="490">
        <v>24000</v>
      </c>
      <c r="L193" s="55">
        <v>2338561</v>
      </c>
      <c r="M193" s="55">
        <v>68948</v>
      </c>
      <c r="N193" s="55">
        <v>0</v>
      </c>
      <c r="O193" s="614">
        <v>11.62</v>
      </c>
      <c r="P193" s="445">
        <f t="shared" ref="P193:P196" si="439">W193*-1</f>
        <v>-16000</v>
      </c>
      <c r="Q193" s="325">
        <v>0</v>
      </c>
      <c r="R193" s="325">
        <v>0</v>
      </c>
      <c r="S193" s="325">
        <v>0</v>
      </c>
      <c r="T193" s="325">
        <v>0</v>
      </c>
      <c r="U193" s="325">
        <v>0</v>
      </c>
      <c r="V193" s="492">
        <f t="shared" ref="V193:V196" si="440">P193+Q193+R193+S193+T193+U193</f>
        <v>-16000</v>
      </c>
      <c r="W193" s="325">
        <v>16000</v>
      </c>
      <c r="X193" s="325">
        <v>0</v>
      </c>
      <c r="Y193" s="325">
        <v>0</v>
      </c>
      <c r="Z193" s="492">
        <f t="shared" ref="Z193:Z196" si="441">W193+X193+Y193</f>
        <v>16000</v>
      </c>
      <c r="AA193" s="492">
        <f t="shared" ref="AA193:AA196" si="442">V193+Z193</f>
        <v>0</v>
      </c>
      <c r="AB193" s="494">
        <f t="shared" ref="AB193:AB196" si="443">ROUND((V193+Z193)*33.8%,0)</f>
        <v>0</v>
      </c>
      <c r="AC193" s="494">
        <f t="shared" ref="AC193:AC196" si="444">ROUND(V193*1%,0)</f>
        <v>-160</v>
      </c>
      <c r="AD193" s="492">
        <v>0</v>
      </c>
      <c r="AE193" s="753">
        <f t="shared" ref="AE193:AE196" si="445">AA193+AB193+AC193+AD193</f>
        <v>-160</v>
      </c>
      <c r="AF193" s="688">
        <v>-0.03</v>
      </c>
      <c r="AG193" s="326">
        <v>0</v>
      </c>
      <c r="AH193" s="326">
        <v>0</v>
      </c>
      <c r="AI193" s="326">
        <v>0</v>
      </c>
      <c r="AJ193" s="326">
        <v>0</v>
      </c>
      <c r="AK193" s="326">
        <v>0</v>
      </c>
      <c r="AL193" s="609">
        <f t="shared" ref="AL193:AL196" si="446">SUM(AF193:AK193)</f>
        <v>-0.03</v>
      </c>
      <c r="AM193" s="493">
        <f>I193+AE193</f>
        <v>9326168</v>
      </c>
      <c r="AN193" s="492">
        <f>J193+V193</f>
        <v>6878819</v>
      </c>
      <c r="AO193" s="573">
        <f t="shared" ref="AO193:AO196" si="447">K193+Z193</f>
        <v>40000</v>
      </c>
      <c r="AP193" s="492">
        <f t="shared" ref="AP193:AQ196" si="448">L193+AB193</f>
        <v>2338561</v>
      </c>
      <c r="AQ193" s="492">
        <f t="shared" si="448"/>
        <v>68788</v>
      </c>
      <c r="AR193" s="492">
        <v>0</v>
      </c>
      <c r="AS193" s="491">
        <f t="shared" ref="AS193:AS196" si="449">O193+AL193</f>
        <v>11.59</v>
      </c>
    </row>
    <row r="194" spans="1:45" s="152" customFormat="1" ht="12.75" customHeight="1" x14ac:dyDescent="0.2">
      <c r="A194" s="140">
        <v>44</v>
      </c>
      <c r="B194" s="141">
        <v>4461</v>
      </c>
      <c r="C194" s="141">
        <v>600074765</v>
      </c>
      <c r="D194" s="141">
        <v>46750088</v>
      </c>
      <c r="E194" s="139" t="s">
        <v>224</v>
      </c>
      <c r="F194" s="141">
        <v>3113</v>
      </c>
      <c r="G194" s="117" t="s">
        <v>280</v>
      </c>
      <c r="H194" s="560" t="s">
        <v>262</v>
      </c>
      <c r="I194" s="580">
        <v>27215332</v>
      </c>
      <c r="J194" s="490">
        <v>20132838</v>
      </c>
      <c r="K194" s="490">
        <v>57000</v>
      </c>
      <c r="L194" s="55">
        <v>6824165</v>
      </c>
      <c r="M194" s="55">
        <v>201329</v>
      </c>
      <c r="N194" s="55">
        <v>0</v>
      </c>
      <c r="O194" s="614">
        <v>27.63</v>
      </c>
      <c r="P194" s="440">
        <f t="shared" si="439"/>
        <v>-38000</v>
      </c>
      <c r="Q194" s="325">
        <v>0</v>
      </c>
      <c r="R194" s="325">
        <v>0</v>
      </c>
      <c r="S194" s="325">
        <v>0</v>
      </c>
      <c r="T194" s="325">
        <v>0</v>
      </c>
      <c r="U194" s="325">
        <v>0</v>
      </c>
      <c r="V194" s="492">
        <f t="shared" si="440"/>
        <v>-38000</v>
      </c>
      <c r="W194" s="325">
        <v>38000</v>
      </c>
      <c r="X194" s="325">
        <v>0</v>
      </c>
      <c r="Y194" s="325">
        <v>0</v>
      </c>
      <c r="Z194" s="492">
        <f t="shared" si="441"/>
        <v>38000</v>
      </c>
      <c r="AA194" s="492">
        <f t="shared" si="442"/>
        <v>0</v>
      </c>
      <c r="AB194" s="494">
        <f t="shared" si="443"/>
        <v>0</v>
      </c>
      <c r="AC194" s="494">
        <f t="shared" si="444"/>
        <v>-380</v>
      </c>
      <c r="AD194" s="492">
        <v>0</v>
      </c>
      <c r="AE194" s="753">
        <f t="shared" si="445"/>
        <v>-380</v>
      </c>
      <c r="AF194" s="688">
        <v>-0.05</v>
      </c>
      <c r="AG194" s="326">
        <v>0</v>
      </c>
      <c r="AH194" s="326">
        <v>0</v>
      </c>
      <c r="AI194" s="326">
        <v>0</v>
      </c>
      <c r="AJ194" s="326">
        <v>0</v>
      </c>
      <c r="AK194" s="326">
        <v>0</v>
      </c>
      <c r="AL194" s="609">
        <f t="shared" si="446"/>
        <v>-0.05</v>
      </c>
      <c r="AM194" s="493">
        <f>I194+AE194</f>
        <v>27214952</v>
      </c>
      <c r="AN194" s="492">
        <f>J194+V194</f>
        <v>20094838</v>
      </c>
      <c r="AO194" s="573">
        <f t="shared" si="447"/>
        <v>95000</v>
      </c>
      <c r="AP194" s="492">
        <f t="shared" si="448"/>
        <v>6824165</v>
      </c>
      <c r="AQ194" s="492">
        <f t="shared" si="448"/>
        <v>200949</v>
      </c>
      <c r="AR194" s="492">
        <v>0</v>
      </c>
      <c r="AS194" s="491">
        <f t="shared" si="449"/>
        <v>27.58</v>
      </c>
    </row>
    <row r="195" spans="1:45" s="152" customFormat="1" ht="12.75" customHeight="1" x14ac:dyDescent="0.2">
      <c r="A195" s="140">
        <v>44</v>
      </c>
      <c r="B195" s="141">
        <v>4461</v>
      </c>
      <c r="C195" s="141">
        <v>600074765</v>
      </c>
      <c r="D195" s="141">
        <v>46750088</v>
      </c>
      <c r="E195" s="139" t="s">
        <v>224</v>
      </c>
      <c r="F195" s="141">
        <v>3113</v>
      </c>
      <c r="G195" s="117" t="s">
        <v>278</v>
      </c>
      <c r="H195" s="560" t="s">
        <v>263</v>
      </c>
      <c r="I195" s="580">
        <v>2971970</v>
      </c>
      <c r="J195" s="490">
        <v>2204726</v>
      </c>
      <c r="K195" s="490">
        <v>0</v>
      </c>
      <c r="L195" s="55">
        <v>745197</v>
      </c>
      <c r="M195" s="55">
        <v>22047</v>
      </c>
      <c r="N195" s="55">
        <v>0</v>
      </c>
      <c r="O195" s="614">
        <v>5.56</v>
      </c>
      <c r="P195" s="440">
        <f t="shared" si="439"/>
        <v>0</v>
      </c>
      <c r="Q195" s="325">
        <v>0</v>
      </c>
      <c r="R195" s="325">
        <v>0</v>
      </c>
      <c r="S195" s="325">
        <v>0</v>
      </c>
      <c r="T195" s="325">
        <v>0</v>
      </c>
      <c r="U195" s="325">
        <v>0</v>
      </c>
      <c r="V195" s="492">
        <f t="shared" si="440"/>
        <v>0</v>
      </c>
      <c r="W195" s="325">
        <v>0</v>
      </c>
      <c r="X195" s="325">
        <v>0</v>
      </c>
      <c r="Y195" s="325">
        <v>0</v>
      </c>
      <c r="Z195" s="492">
        <f t="shared" si="441"/>
        <v>0</v>
      </c>
      <c r="AA195" s="492">
        <f t="shared" si="442"/>
        <v>0</v>
      </c>
      <c r="AB195" s="494">
        <f t="shared" si="443"/>
        <v>0</v>
      </c>
      <c r="AC195" s="494">
        <f t="shared" si="444"/>
        <v>0</v>
      </c>
      <c r="AD195" s="492">
        <v>0</v>
      </c>
      <c r="AE195" s="753">
        <f t="shared" si="445"/>
        <v>0</v>
      </c>
      <c r="AF195" s="688">
        <v>0</v>
      </c>
      <c r="AG195" s="326">
        <v>0</v>
      </c>
      <c r="AH195" s="326">
        <v>0</v>
      </c>
      <c r="AI195" s="326">
        <v>0</v>
      </c>
      <c r="AJ195" s="326">
        <v>0</v>
      </c>
      <c r="AK195" s="326">
        <v>0</v>
      </c>
      <c r="AL195" s="609">
        <f t="shared" si="446"/>
        <v>0</v>
      </c>
      <c r="AM195" s="493">
        <f>I195+AE195</f>
        <v>2971970</v>
      </c>
      <c r="AN195" s="492">
        <f>J195+V195</f>
        <v>2204726</v>
      </c>
      <c r="AO195" s="573">
        <f t="shared" si="447"/>
        <v>0</v>
      </c>
      <c r="AP195" s="492">
        <f t="shared" si="448"/>
        <v>745197</v>
      </c>
      <c r="AQ195" s="492">
        <f t="shared" si="448"/>
        <v>22047</v>
      </c>
      <c r="AR195" s="492">
        <v>0</v>
      </c>
      <c r="AS195" s="491">
        <f t="shared" si="449"/>
        <v>5.56</v>
      </c>
    </row>
    <row r="196" spans="1:45" s="152" customFormat="1" ht="12.75" customHeight="1" x14ac:dyDescent="0.2">
      <c r="A196" s="140">
        <v>44</v>
      </c>
      <c r="B196" s="141">
        <v>4461</v>
      </c>
      <c r="C196" s="141">
        <v>600074765</v>
      </c>
      <c r="D196" s="141">
        <v>46750088</v>
      </c>
      <c r="E196" s="139" t="s">
        <v>224</v>
      </c>
      <c r="F196" s="141">
        <v>3143</v>
      </c>
      <c r="G196" s="117" t="s">
        <v>795</v>
      </c>
      <c r="H196" s="157" t="s">
        <v>262</v>
      </c>
      <c r="I196" s="580">
        <v>2387239</v>
      </c>
      <c r="J196" s="490">
        <v>1753082</v>
      </c>
      <c r="K196" s="490">
        <v>18000</v>
      </c>
      <c r="L196" s="55">
        <v>598626</v>
      </c>
      <c r="M196" s="55">
        <v>17531</v>
      </c>
      <c r="N196" s="55">
        <v>0</v>
      </c>
      <c r="O196" s="614">
        <v>3.32</v>
      </c>
      <c r="P196" s="440">
        <f t="shared" si="439"/>
        <v>-12000</v>
      </c>
      <c r="Q196" s="325">
        <v>0</v>
      </c>
      <c r="R196" s="325">
        <v>0</v>
      </c>
      <c r="S196" s="325">
        <v>0</v>
      </c>
      <c r="T196" s="325">
        <v>0</v>
      </c>
      <c r="U196" s="325">
        <v>0</v>
      </c>
      <c r="V196" s="492">
        <f t="shared" si="440"/>
        <v>-12000</v>
      </c>
      <c r="W196" s="325">
        <v>12000</v>
      </c>
      <c r="X196" s="325">
        <v>0</v>
      </c>
      <c r="Y196" s="325">
        <v>0</v>
      </c>
      <c r="Z196" s="492">
        <f t="shared" si="441"/>
        <v>12000</v>
      </c>
      <c r="AA196" s="492">
        <f t="shared" si="442"/>
        <v>0</v>
      </c>
      <c r="AB196" s="494">
        <f t="shared" si="443"/>
        <v>0</v>
      </c>
      <c r="AC196" s="494">
        <f t="shared" si="444"/>
        <v>-120</v>
      </c>
      <c r="AD196" s="492">
        <v>0</v>
      </c>
      <c r="AE196" s="753">
        <f t="shared" si="445"/>
        <v>-120</v>
      </c>
      <c r="AF196" s="688">
        <v>0</v>
      </c>
      <c r="AG196" s="326">
        <v>0</v>
      </c>
      <c r="AH196" s="326">
        <v>0</v>
      </c>
      <c r="AI196" s="326">
        <v>0</v>
      </c>
      <c r="AJ196" s="326">
        <v>0</v>
      </c>
      <c r="AK196" s="326">
        <v>0</v>
      </c>
      <c r="AL196" s="609">
        <f t="shared" si="446"/>
        <v>0</v>
      </c>
      <c r="AM196" s="493">
        <f>I196+AE196</f>
        <v>2387119</v>
      </c>
      <c r="AN196" s="492">
        <f>J196+V196</f>
        <v>1741082</v>
      </c>
      <c r="AO196" s="573">
        <f t="shared" si="447"/>
        <v>30000</v>
      </c>
      <c r="AP196" s="492">
        <f t="shared" si="448"/>
        <v>598626</v>
      </c>
      <c r="AQ196" s="492">
        <f t="shared" si="448"/>
        <v>17411</v>
      </c>
      <c r="AR196" s="492">
        <v>0</v>
      </c>
      <c r="AS196" s="491">
        <f t="shared" si="449"/>
        <v>3.32</v>
      </c>
    </row>
    <row r="197" spans="1:45" s="152" customFormat="1" ht="12.75" customHeight="1" x14ac:dyDescent="0.2">
      <c r="A197" s="107">
        <v>44</v>
      </c>
      <c r="B197" s="15">
        <v>4461</v>
      </c>
      <c r="C197" s="15">
        <v>600074765</v>
      </c>
      <c r="D197" s="15">
        <v>46750088</v>
      </c>
      <c r="E197" s="116" t="s">
        <v>225</v>
      </c>
      <c r="F197" s="15"/>
      <c r="G197" s="106"/>
      <c r="H197" s="555"/>
      <c r="I197" s="758">
        <v>41900869</v>
      </c>
      <c r="J197" s="343">
        <v>30985465</v>
      </c>
      <c r="K197" s="343">
        <v>99000</v>
      </c>
      <c r="L197" s="343">
        <v>10506549</v>
      </c>
      <c r="M197" s="343">
        <v>309855</v>
      </c>
      <c r="N197" s="343">
        <v>0</v>
      </c>
      <c r="O197" s="35">
        <v>48.13</v>
      </c>
      <c r="P197" s="346">
        <f t="shared" ref="P197:AS197" si="450">SUM(P193:P196)</f>
        <v>-66000</v>
      </c>
      <c r="Q197" s="343">
        <f t="shared" si="450"/>
        <v>0</v>
      </c>
      <c r="R197" s="343">
        <f t="shared" si="450"/>
        <v>0</v>
      </c>
      <c r="S197" s="343">
        <f t="shared" si="450"/>
        <v>0</v>
      </c>
      <c r="T197" s="343">
        <f t="shared" si="450"/>
        <v>0</v>
      </c>
      <c r="U197" s="343">
        <f t="shared" si="450"/>
        <v>0</v>
      </c>
      <c r="V197" s="343">
        <f t="shared" si="450"/>
        <v>-66000</v>
      </c>
      <c r="W197" s="343">
        <f t="shared" si="450"/>
        <v>66000</v>
      </c>
      <c r="X197" s="343">
        <f t="shared" si="450"/>
        <v>0</v>
      </c>
      <c r="Y197" s="343">
        <f t="shared" si="450"/>
        <v>0</v>
      </c>
      <c r="Z197" s="343">
        <f t="shared" si="450"/>
        <v>66000</v>
      </c>
      <c r="AA197" s="343">
        <f t="shared" si="450"/>
        <v>0</v>
      </c>
      <c r="AB197" s="343">
        <f t="shared" si="450"/>
        <v>0</v>
      </c>
      <c r="AC197" s="343">
        <f t="shared" si="450"/>
        <v>-660</v>
      </c>
      <c r="AD197" s="343">
        <f t="shared" si="450"/>
        <v>0</v>
      </c>
      <c r="AE197" s="763">
        <f t="shared" si="450"/>
        <v>-660</v>
      </c>
      <c r="AF197" s="767">
        <f t="shared" si="450"/>
        <v>-0.08</v>
      </c>
      <c r="AG197" s="344">
        <f t="shared" si="450"/>
        <v>0</v>
      </c>
      <c r="AH197" s="344">
        <f t="shared" si="450"/>
        <v>0</v>
      </c>
      <c r="AI197" s="344">
        <f t="shared" si="450"/>
        <v>0</v>
      </c>
      <c r="AJ197" s="344">
        <f t="shared" si="450"/>
        <v>0</v>
      </c>
      <c r="AK197" s="344">
        <f t="shared" si="450"/>
        <v>0</v>
      </c>
      <c r="AL197" s="35">
        <f t="shared" si="450"/>
        <v>-0.08</v>
      </c>
      <c r="AM197" s="346">
        <f t="shared" si="450"/>
        <v>41900209</v>
      </c>
      <c r="AN197" s="343">
        <f t="shared" si="450"/>
        <v>30919465</v>
      </c>
      <c r="AO197" s="343">
        <f t="shared" si="450"/>
        <v>165000</v>
      </c>
      <c r="AP197" s="343">
        <f t="shared" si="450"/>
        <v>10506549</v>
      </c>
      <c r="AQ197" s="343">
        <f t="shared" si="450"/>
        <v>309195</v>
      </c>
      <c r="AR197" s="343">
        <f t="shared" si="450"/>
        <v>0</v>
      </c>
      <c r="AS197" s="344">
        <f t="shared" si="450"/>
        <v>48.050000000000004</v>
      </c>
    </row>
    <row r="198" spans="1:45" s="152" customFormat="1" ht="12.75" customHeight="1" x14ac:dyDescent="0.2">
      <c r="A198" s="140">
        <v>45</v>
      </c>
      <c r="B198" s="141">
        <v>4427</v>
      </c>
      <c r="C198" s="141">
        <v>600074188</v>
      </c>
      <c r="D198" s="141">
        <v>70982678</v>
      </c>
      <c r="E198" s="139" t="s">
        <v>760</v>
      </c>
      <c r="F198" s="141">
        <v>3111</v>
      </c>
      <c r="G198" s="117" t="s">
        <v>277</v>
      </c>
      <c r="H198" s="560" t="s">
        <v>262</v>
      </c>
      <c r="I198" s="580">
        <v>3719006</v>
      </c>
      <c r="J198" s="490">
        <v>2758906</v>
      </c>
      <c r="K198" s="490">
        <v>0</v>
      </c>
      <c r="L198" s="55">
        <v>932511</v>
      </c>
      <c r="M198" s="55">
        <v>27589</v>
      </c>
      <c r="N198" s="55">
        <v>0</v>
      </c>
      <c r="O198" s="614">
        <v>4.4800000000000004</v>
      </c>
      <c r="P198" s="445">
        <f t="shared" ref="P198:P201" si="451">W198*-1</f>
        <v>0</v>
      </c>
      <c r="Q198" s="325">
        <v>0</v>
      </c>
      <c r="R198" s="325">
        <v>0</v>
      </c>
      <c r="S198" s="325">
        <v>0</v>
      </c>
      <c r="T198" s="325">
        <v>0</v>
      </c>
      <c r="U198" s="325">
        <v>0</v>
      </c>
      <c r="V198" s="492">
        <f t="shared" ref="V198:V201" si="452">P198+Q198+R198+S198+T198+U198</f>
        <v>0</v>
      </c>
      <c r="W198" s="325">
        <v>0</v>
      </c>
      <c r="X198" s="325">
        <v>0</v>
      </c>
      <c r="Y198" s="325">
        <v>0</v>
      </c>
      <c r="Z198" s="492">
        <f t="shared" ref="Z198:Z201" si="453">W198+X198+Y198</f>
        <v>0</v>
      </c>
      <c r="AA198" s="492">
        <f t="shared" ref="AA198:AA201" si="454">V198+Z198</f>
        <v>0</v>
      </c>
      <c r="AB198" s="494">
        <f t="shared" ref="AB198:AB201" si="455">ROUND((V198+Z198)*33.8%,0)</f>
        <v>0</v>
      </c>
      <c r="AC198" s="494">
        <f t="shared" ref="AC198:AC201" si="456">ROUND(V198*1%,0)</f>
        <v>0</v>
      </c>
      <c r="AD198" s="492">
        <v>0</v>
      </c>
      <c r="AE198" s="753">
        <f t="shared" ref="AE198:AE201" si="457">AA198+AB198+AC198+AD198</f>
        <v>0</v>
      </c>
      <c r="AF198" s="688">
        <v>0</v>
      </c>
      <c r="AG198" s="326">
        <v>0</v>
      </c>
      <c r="AH198" s="326">
        <v>0</v>
      </c>
      <c r="AI198" s="326">
        <v>0</v>
      </c>
      <c r="AJ198" s="326">
        <v>0</v>
      </c>
      <c r="AK198" s="326">
        <v>0</v>
      </c>
      <c r="AL198" s="609">
        <f t="shared" ref="AL198:AL201" si="458">SUM(AF198:AK198)</f>
        <v>0</v>
      </c>
      <c r="AM198" s="493">
        <f>I198+AE198</f>
        <v>3719006</v>
      </c>
      <c r="AN198" s="492">
        <f>J198+V198</f>
        <v>2758906</v>
      </c>
      <c r="AO198" s="573">
        <f t="shared" ref="AO198:AO201" si="459">K198+Z198</f>
        <v>0</v>
      </c>
      <c r="AP198" s="492">
        <f t="shared" ref="AP198:AQ201" si="460">L198+AB198</f>
        <v>932511</v>
      </c>
      <c r="AQ198" s="492">
        <f t="shared" si="460"/>
        <v>27589</v>
      </c>
      <c r="AR198" s="492">
        <v>0</v>
      </c>
      <c r="AS198" s="491">
        <f t="shared" ref="AS198:AS201" si="461">O198+AL198</f>
        <v>4.4800000000000004</v>
      </c>
    </row>
    <row r="199" spans="1:45" s="152" customFormat="1" ht="12.75" customHeight="1" x14ac:dyDescent="0.2">
      <c r="A199" s="140">
        <v>45</v>
      </c>
      <c r="B199" s="141">
        <v>4427</v>
      </c>
      <c r="C199" s="141">
        <v>600074188</v>
      </c>
      <c r="D199" s="141">
        <v>70982678</v>
      </c>
      <c r="E199" s="139" t="s">
        <v>757</v>
      </c>
      <c r="F199" s="141">
        <v>3117</v>
      </c>
      <c r="G199" s="117" t="s">
        <v>280</v>
      </c>
      <c r="H199" s="560" t="s">
        <v>262</v>
      </c>
      <c r="I199" s="580">
        <v>1628277</v>
      </c>
      <c r="J199" s="490">
        <v>1207921</v>
      </c>
      <c r="K199" s="490">
        <v>0</v>
      </c>
      <c r="L199" s="55">
        <v>408277</v>
      </c>
      <c r="M199" s="55">
        <v>12079</v>
      </c>
      <c r="N199" s="55">
        <v>0</v>
      </c>
      <c r="O199" s="614">
        <v>2</v>
      </c>
      <c r="P199" s="440">
        <f t="shared" si="451"/>
        <v>0</v>
      </c>
      <c r="Q199" s="325">
        <v>0</v>
      </c>
      <c r="R199" s="325">
        <v>0</v>
      </c>
      <c r="S199" s="325">
        <v>0</v>
      </c>
      <c r="T199" s="325">
        <v>0</v>
      </c>
      <c r="U199" s="325">
        <v>0</v>
      </c>
      <c r="V199" s="492">
        <f t="shared" si="452"/>
        <v>0</v>
      </c>
      <c r="W199" s="325">
        <v>0</v>
      </c>
      <c r="X199" s="325">
        <v>0</v>
      </c>
      <c r="Y199" s="325">
        <v>0</v>
      </c>
      <c r="Z199" s="492">
        <f t="shared" si="453"/>
        <v>0</v>
      </c>
      <c r="AA199" s="492">
        <f t="shared" si="454"/>
        <v>0</v>
      </c>
      <c r="AB199" s="494">
        <f t="shared" si="455"/>
        <v>0</v>
      </c>
      <c r="AC199" s="494">
        <f t="shared" si="456"/>
        <v>0</v>
      </c>
      <c r="AD199" s="492">
        <v>0</v>
      </c>
      <c r="AE199" s="753">
        <f t="shared" si="457"/>
        <v>0</v>
      </c>
      <c r="AF199" s="688">
        <v>0</v>
      </c>
      <c r="AG199" s="326">
        <v>0</v>
      </c>
      <c r="AH199" s="326">
        <v>0</v>
      </c>
      <c r="AI199" s="326">
        <v>0</v>
      </c>
      <c r="AJ199" s="326">
        <v>0</v>
      </c>
      <c r="AK199" s="326">
        <v>0</v>
      </c>
      <c r="AL199" s="609">
        <f t="shared" si="458"/>
        <v>0</v>
      </c>
      <c r="AM199" s="493">
        <f>I199+AE199</f>
        <v>1628277</v>
      </c>
      <c r="AN199" s="492">
        <f>J199+V199</f>
        <v>1207921</v>
      </c>
      <c r="AO199" s="573">
        <f t="shared" si="459"/>
        <v>0</v>
      </c>
      <c r="AP199" s="492">
        <f t="shared" si="460"/>
        <v>408277</v>
      </c>
      <c r="AQ199" s="492">
        <f t="shared" si="460"/>
        <v>12079</v>
      </c>
      <c r="AR199" s="492">
        <v>0</v>
      </c>
      <c r="AS199" s="491">
        <f t="shared" si="461"/>
        <v>2</v>
      </c>
    </row>
    <row r="200" spans="1:45" s="152" customFormat="1" ht="12.75" customHeight="1" x14ac:dyDescent="0.2">
      <c r="A200" s="140">
        <v>45</v>
      </c>
      <c r="B200" s="141">
        <v>4427</v>
      </c>
      <c r="C200" s="141">
        <v>600074188</v>
      </c>
      <c r="D200" s="141">
        <v>70982678</v>
      </c>
      <c r="E200" s="139" t="s">
        <v>757</v>
      </c>
      <c r="F200" s="141">
        <v>3117</v>
      </c>
      <c r="G200" s="117" t="s">
        <v>278</v>
      </c>
      <c r="H200" s="560" t="s">
        <v>263</v>
      </c>
      <c r="I200" s="580">
        <v>936163</v>
      </c>
      <c r="J200" s="490">
        <v>694483</v>
      </c>
      <c r="K200" s="490">
        <v>0</v>
      </c>
      <c r="L200" s="55">
        <v>234735</v>
      </c>
      <c r="M200" s="55">
        <v>6945</v>
      </c>
      <c r="N200" s="55">
        <v>0</v>
      </c>
      <c r="O200" s="614">
        <v>1.75</v>
      </c>
      <c r="P200" s="440">
        <f t="shared" si="451"/>
        <v>0</v>
      </c>
      <c r="Q200" s="325">
        <v>0</v>
      </c>
      <c r="R200" s="325">
        <v>0</v>
      </c>
      <c r="S200" s="325">
        <v>0</v>
      </c>
      <c r="T200" s="325">
        <v>0</v>
      </c>
      <c r="U200" s="325">
        <v>0</v>
      </c>
      <c r="V200" s="492">
        <f t="shared" si="452"/>
        <v>0</v>
      </c>
      <c r="W200" s="325">
        <v>0</v>
      </c>
      <c r="X200" s="325">
        <v>0</v>
      </c>
      <c r="Y200" s="325">
        <v>0</v>
      </c>
      <c r="Z200" s="492">
        <f t="shared" si="453"/>
        <v>0</v>
      </c>
      <c r="AA200" s="492">
        <f t="shared" si="454"/>
        <v>0</v>
      </c>
      <c r="AB200" s="494">
        <f t="shared" si="455"/>
        <v>0</v>
      </c>
      <c r="AC200" s="494">
        <f t="shared" si="456"/>
        <v>0</v>
      </c>
      <c r="AD200" s="492">
        <v>0</v>
      </c>
      <c r="AE200" s="753">
        <f t="shared" si="457"/>
        <v>0</v>
      </c>
      <c r="AF200" s="688">
        <v>0</v>
      </c>
      <c r="AG200" s="326">
        <v>0</v>
      </c>
      <c r="AH200" s="326">
        <v>0</v>
      </c>
      <c r="AI200" s="326">
        <v>0</v>
      </c>
      <c r="AJ200" s="326">
        <v>0</v>
      </c>
      <c r="AK200" s="326">
        <v>0</v>
      </c>
      <c r="AL200" s="609">
        <f t="shared" si="458"/>
        <v>0</v>
      </c>
      <c r="AM200" s="493">
        <f>I200+AE200</f>
        <v>936163</v>
      </c>
      <c r="AN200" s="492">
        <f>J200+V200</f>
        <v>694483</v>
      </c>
      <c r="AO200" s="573">
        <f t="shared" si="459"/>
        <v>0</v>
      </c>
      <c r="AP200" s="492">
        <f t="shared" si="460"/>
        <v>234735</v>
      </c>
      <c r="AQ200" s="492">
        <f t="shared" si="460"/>
        <v>6945</v>
      </c>
      <c r="AR200" s="492">
        <v>0</v>
      </c>
      <c r="AS200" s="491">
        <f t="shared" si="461"/>
        <v>1.75</v>
      </c>
    </row>
    <row r="201" spans="1:45" s="152" customFormat="1" ht="12.75" customHeight="1" x14ac:dyDescent="0.2">
      <c r="A201" s="140">
        <v>45</v>
      </c>
      <c r="B201" s="141">
        <v>4427</v>
      </c>
      <c r="C201" s="141">
        <v>600074188</v>
      </c>
      <c r="D201" s="141">
        <v>70982678</v>
      </c>
      <c r="E201" s="139" t="s">
        <v>757</v>
      </c>
      <c r="F201" s="141">
        <v>3143</v>
      </c>
      <c r="G201" s="117" t="s">
        <v>795</v>
      </c>
      <c r="H201" s="157" t="s">
        <v>262</v>
      </c>
      <c r="I201" s="580">
        <v>650618</v>
      </c>
      <c r="J201" s="490">
        <v>482654</v>
      </c>
      <c r="K201" s="490">
        <v>0</v>
      </c>
      <c r="L201" s="55">
        <v>163137</v>
      </c>
      <c r="M201" s="55">
        <v>4827</v>
      </c>
      <c r="N201" s="55">
        <v>0</v>
      </c>
      <c r="O201" s="614">
        <v>0.97</v>
      </c>
      <c r="P201" s="440">
        <f t="shared" si="451"/>
        <v>0</v>
      </c>
      <c r="Q201" s="325">
        <v>0</v>
      </c>
      <c r="R201" s="325">
        <v>0</v>
      </c>
      <c r="S201" s="325">
        <v>0</v>
      </c>
      <c r="T201" s="325">
        <v>0</v>
      </c>
      <c r="U201" s="325">
        <v>0</v>
      </c>
      <c r="V201" s="492">
        <f t="shared" si="452"/>
        <v>0</v>
      </c>
      <c r="W201" s="325">
        <v>0</v>
      </c>
      <c r="X201" s="325">
        <v>0</v>
      </c>
      <c r="Y201" s="325">
        <v>0</v>
      </c>
      <c r="Z201" s="492">
        <f t="shared" si="453"/>
        <v>0</v>
      </c>
      <c r="AA201" s="492">
        <f t="shared" si="454"/>
        <v>0</v>
      </c>
      <c r="AB201" s="494">
        <f t="shared" si="455"/>
        <v>0</v>
      </c>
      <c r="AC201" s="494">
        <f t="shared" si="456"/>
        <v>0</v>
      </c>
      <c r="AD201" s="492">
        <v>0</v>
      </c>
      <c r="AE201" s="753">
        <f t="shared" si="457"/>
        <v>0</v>
      </c>
      <c r="AF201" s="688">
        <v>0</v>
      </c>
      <c r="AG201" s="326">
        <v>0</v>
      </c>
      <c r="AH201" s="326">
        <v>0</v>
      </c>
      <c r="AI201" s="326">
        <v>0</v>
      </c>
      <c r="AJ201" s="326">
        <v>0</v>
      </c>
      <c r="AK201" s="326">
        <v>0</v>
      </c>
      <c r="AL201" s="609">
        <f t="shared" si="458"/>
        <v>0</v>
      </c>
      <c r="AM201" s="493">
        <f>I201+AE201</f>
        <v>650618</v>
      </c>
      <c r="AN201" s="492">
        <f>J201+V201</f>
        <v>482654</v>
      </c>
      <c r="AO201" s="573">
        <f t="shared" si="459"/>
        <v>0</v>
      </c>
      <c r="AP201" s="492">
        <f t="shared" si="460"/>
        <v>163137</v>
      </c>
      <c r="AQ201" s="492">
        <f t="shared" si="460"/>
        <v>4827</v>
      </c>
      <c r="AR201" s="492">
        <v>0</v>
      </c>
      <c r="AS201" s="491">
        <f t="shared" si="461"/>
        <v>0.97</v>
      </c>
    </row>
    <row r="202" spans="1:45" s="152" customFormat="1" ht="12.75" customHeight="1" x14ac:dyDescent="0.2">
      <c r="A202" s="107">
        <v>45</v>
      </c>
      <c r="B202" s="15">
        <v>4427</v>
      </c>
      <c r="C202" s="15">
        <v>600074188</v>
      </c>
      <c r="D202" s="15">
        <v>70982678</v>
      </c>
      <c r="E202" s="116" t="s">
        <v>758</v>
      </c>
      <c r="F202" s="15"/>
      <c r="G202" s="106"/>
      <c r="H202" s="555"/>
      <c r="I202" s="758">
        <v>6934064</v>
      </c>
      <c r="J202" s="343">
        <v>5143964</v>
      </c>
      <c r="K202" s="343">
        <v>0</v>
      </c>
      <c r="L202" s="343">
        <v>1738660</v>
      </c>
      <c r="M202" s="343">
        <v>51440</v>
      </c>
      <c r="N202" s="343">
        <v>0</v>
      </c>
      <c r="O202" s="35">
        <v>9.2000000000000011</v>
      </c>
      <c r="P202" s="346">
        <f t="shared" ref="P202:AS202" si="462">SUM(P198:P201)</f>
        <v>0</v>
      </c>
      <c r="Q202" s="343">
        <f t="shared" si="462"/>
        <v>0</v>
      </c>
      <c r="R202" s="343">
        <f t="shared" si="462"/>
        <v>0</v>
      </c>
      <c r="S202" s="343">
        <f t="shared" si="462"/>
        <v>0</v>
      </c>
      <c r="T202" s="343">
        <f t="shared" si="462"/>
        <v>0</v>
      </c>
      <c r="U202" s="343">
        <f t="shared" si="462"/>
        <v>0</v>
      </c>
      <c r="V202" s="343">
        <f t="shared" si="462"/>
        <v>0</v>
      </c>
      <c r="W202" s="343">
        <f t="shared" si="462"/>
        <v>0</v>
      </c>
      <c r="X202" s="343">
        <f t="shared" si="462"/>
        <v>0</v>
      </c>
      <c r="Y202" s="343">
        <f t="shared" si="462"/>
        <v>0</v>
      </c>
      <c r="Z202" s="343">
        <f t="shared" si="462"/>
        <v>0</v>
      </c>
      <c r="AA202" s="343">
        <f t="shared" si="462"/>
        <v>0</v>
      </c>
      <c r="AB202" s="343">
        <f t="shared" si="462"/>
        <v>0</v>
      </c>
      <c r="AC202" s="343">
        <f t="shared" si="462"/>
        <v>0</v>
      </c>
      <c r="AD202" s="343">
        <f t="shared" si="462"/>
        <v>0</v>
      </c>
      <c r="AE202" s="763">
        <f t="shared" si="462"/>
        <v>0</v>
      </c>
      <c r="AF202" s="767">
        <f t="shared" si="462"/>
        <v>0</v>
      </c>
      <c r="AG202" s="344">
        <f t="shared" si="462"/>
        <v>0</v>
      </c>
      <c r="AH202" s="344">
        <f t="shared" si="462"/>
        <v>0</v>
      </c>
      <c r="AI202" s="344">
        <f t="shared" si="462"/>
        <v>0</v>
      </c>
      <c r="AJ202" s="344">
        <f t="shared" si="462"/>
        <v>0</v>
      </c>
      <c r="AK202" s="344">
        <f t="shared" si="462"/>
        <v>0</v>
      </c>
      <c r="AL202" s="35">
        <f t="shared" si="462"/>
        <v>0</v>
      </c>
      <c r="AM202" s="346">
        <f t="shared" si="462"/>
        <v>6934064</v>
      </c>
      <c r="AN202" s="343">
        <f t="shared" si="462"/>
        <v>5143964</v>
      </c>
      <c r="AO202" s="343">
        <f t="shared" si="462"/>
        <v>0</v>
      </c>
      <c r="AP202" s="343">
        <f t="shared" si="462"/>
        <v>1738660</v>
      </c>
      <c r="AQ202" s="343">
        <f t="shared" si="462"/>
        <v>51440</v>
      </c>
      <c r="AR202" s="343">
        <f t="shared" si="462"/>
        <v>0</v>
      </c>
      <c r="AS202" s="344">
        <f t="shared" si="462"/>
        <v>9.2000000000000011</v>
      </c>
    </row>
    <row r="203" spans="1:45" s="152" customFormat="1" ht="12.75" customHeight="1" x14ac:dyDescent="0.2">
      <c r="A203" s="140">
        <v>46</v>
      </c>
      <c r="B203" s="141">
        <v>4490</v>
      </c>
      <c r="C203" s="141">
        <v>600074692</v>
      </c>
      <c r="D203" s="141">
        <v>72745088</v>
      </c>
      <c r="E203" s="139" t="s">
        <v>226</v>
      </c>
      <c r="F203" s="141">
        <v>3111</v>
      </c>
      <c r="G203" s="117" t="s">
        <v>277</v>
      </c>
      <c r="H203" s="560" t="s">
        <v>262</v>
      </c>
      <c r="I203" s="580">
        <v>1302623</v>
      </c>
      <c r="J203" s="490">
        <v>966338</v>
      </c>
      <c r="K203" s="490">
        <v>0</v>
      </c>
      <c r="L203" s="55">
        <v>326622</v>
      </c>
      <c r="M203" s="55">
        <v>9663</v>
      </c>
      <c r="N203" s="55">
        <v>0</v>
      </c>
      <c r="O203" s="614">
        <v>1.85</v>
      </c>
      <c r="P203" s="445">
        <f t="shared" ref="P203:P206" si="463">W203*-1</f>
        <v>0</v>
      </c>
      <c r="Q203" s="325">
        <v>0</v>
      </c>
      <c r="R203" s="325">
        <v>0</v>
      </c>
      <c r="S203" s="325">
        <v>0</v>
      </c>
      <c r="T203" s="325">
        <v>0</v>
      </c>
      <c r="U203" s="325">
        <v>0</v>
      </c>
      <c r="V203" s="492">
        <f t="shared" ref="V203:V206" si="464">P203+Q203+R203+S203+T203+U203</f>
        <v>0</v>
      </c>
      <c r="W203" s="325">
        <v>0</v>
      </c>
      <c r="X203" s="325">
        <v>0</v>
      </c>
      <c r="Y203" s="325">
        <v>0</v>
      </c>
      <c r="Z203" s="492">
        <f t="shared" ref="Z203:Z206" si="465">W203+X203+Y203</f>
        <v>0</v>
      </c>
      <c r="AA203" s="492">
        <f t="shared" ref="AA203:AA206" si="466">V203+Z203</f>
        <v>0</v>
      </c>
      <c r="AB203" s="494">
        <f t="shared" ref="AB203:AB206" si="467">ROUND((V203+Z203)*33.8%,0)</f>
        <v>0</v>
      </c>
      <c r="AC203" s="494">
        <f t="shared" ref="AC203:AC206" si="468">ROUND(V203*1%,0)</f>
        <v>0</v>
      </c>
      <c r="AD203" s="492">
        <v>0</v>
      </c>
      <c r="AE203" s="753">
        <f t="shared" ref="AE203:AE206" si="469">AA203+AB203+AC203+AD203</f>
        <v>0</v>
      </c>
      <c r="AF203" s="688">
        <v>0</v>
      </c>
      <c r="AG203" s="326">
        <v>0</v>
      </c>
      <c r="AH203" s="326">
        <v>0</v>
      </c>
      <c r="AI203" s="326">
        <v>0</v>
      </c>
      <c r="AJ203" s="326">
        <v>0</v>
      </c>
      <c r="AK203" s="326">
        <v>0</v>
      </c>
      <c r="AL203" s="609">
        <f t="shared" ref="AL203:AL206" si="470">SUM(AF203:AK203)</f>
        <v>0</v>
      </c>
      <c r="AM203" s="493">
        <f>I203+AE203</f>
        <v>1302623</v>
      </c>
      <c r="AN203" s="492">
        <f>J203+V203</f>
        <v>966338</v>
      </c>
      <c r="AO203" s="573">
        <f t="shared" ref="AO203:AO206" si="471">K203+Z203</f>
        <v>0</v>
      </c>
      <c r="AP203" s="492">
        <f t="shared" ref="AP203:AQ206" si="472">L203+AB203</f>
        <v>326622</v>
      </c>
      <c r="AQ203" s="492">
        <f t="shared" si="472"/>
        <v>9663</v>
      </c>
      <c r="AR203" s="492">
        <v>0</v>
      </c>
      <c r="AS203" s="491">
        <f t="shared" ref="AS203:AS206" si="473">O203+AL203</f>
        <v>1.85</v>
      </c>
    </row>
    <row r="204" spans="1:45" s="152" customFormat="1" ht="12.75" customHeight="1" x14ac:dyDescent="0.2">
      <c r="A204" s="140">
        <v>46</v>
      </c>
      <c r="B204" s="141">
        <v>4490</v>
      </c>
      <c r="C204" s="141">
        <v>600074692</v>
      </c>
      <c r="D204" s="141">
        <v>72745088</v>
      </c>
      <c r="E204" s="139" t="s">
        <v>226</v>
      </c>
      <c r="F204" s="141">
        <v>3117</v>
      </c>
      <c r="G204" s="117" t="s">
        <v>280</v>
      </c>
      <c r="H204" s="560" t="s">
        <v>262</v>
      </c>
      <c r="I204" s="580">
        <v>1938606</v>
      </c>
      <c r="J204" s="490">
        <v>1438134</v>
      </c>
      <c r="K204" s="490">
        <v>0</v>
      </c>
      <c r="L204" s="55">
        <v>486090</v>
      </c>
      <c r="M204" s="55">
        <v>14382</v>
      </c>
      <c r="N204" s="55">
        <v>0</v>
      </c>
      <c r="O204" s="614">
        <v>2.48</v>
      </c>
      <c r="P204" s="440">
        <f t="shared" si="463"/>
        <v>0</v>
      </c>
      <c r="Q204" s="325">
        <v>0</v>
      </c>
      <c r="R204" s="325">
        <v>0</v>
      </c>
      <c r="S204" s="325">
        <v>0</v>
      </c>
      <c r="T204" s="325">
        <v>0</v>
      </c>
      <c r="U204" s="325">
        <v>0</v>
      </c>
      <c r="V204" s="492">
        <f t="shared" si="464"/>
        <v>0</v>
      </c>
      <c r="W204" s="325">
        <v>0</v>
      </c>
      <c r="X204" s="325">
        <v>0</v>
      </c>
      <c r="Y204" s="325">
        <v>0</v>
      </c>
      <c r="Z204" s="492">
        <f t="shared" si="465"/>
        <v>0</v>
      </c>
      <c r="AA204" s="492">
        <f t="shared" si="466"/>
        <v>0</v>
      </c>
      <c r="AB204" s="494">
        <f t="shared" si="467"/>
        <v>0</v>
      </c>
      <c r="AC204" s="494">
        <f t="shared" si="468"/>
        <v>0</v>
      </c>
      <c r="AD204" s="492">
        <v>0</v>
      </c>
      <c r="AE204" s="753">
        <f t="shared" si="469"/>
        <v>0</v>
      </c>
      <c r="AF204" s="688">
        <v>0</v>
      </c>
      <c r="AG204" s="326">
        <v>0</v>
      </c>
      <c r="AH204" s="326">
        <v>0</v>
      </c>
      <c r="AI204" s="326">
        <v>0</v>
      </c>
      <c r="AJ204" s="326">
        <v>0</v>
      </c>
      <c r="AK204" s="326">
        <v>0</v>
      </c>
      <c r="AL204" s="609">
        <f t="shared" si="470"/>
        <v>0</v>
      </c>
      <c r="AM204" s="493">
        <f>I204+AE204</f>
        <v>1938606</v>
      </c>
      <c r="AN204" s="492">
        <f>J204+V204</f>
        <v>1438134</v>
      </c>
      <c r="AO204" s="573">
        <f t="shared" si="471"/>
        <v>0</v>
      </c>
      <c r="AP204" s="492">
        <f t="shared" si="472"/>
        <v>486090</v>
      </c>
      <c r="AQ204" s="492">
        <f t="shared" si="472"/>
        <v>14382</v>
      </c>
      <c r="AR204" s="492">
        <v>0</v>
      </c>
      <c r="AS204" s="491">
        <f t="shared" si="473"/>
        <v>2.48</v>
      </c>
    </row>
    <row r="205" spans="1:45" s="152" customFormat="1" ht="12.75" customHeight="1" x14ac:dyDescent="0.2">
      <c r="A205" s="140">
        <v>46</v>
      </c>
      <c r="B205" s="141">
        <v>4490</v>
      </c>
      <c r="C205" s="141">
        <v>600074692</v>
      </c>
      <c r="D205" s="141">
        <v>72745088</v>
      </c>
      <c r="E205" s="139" t="s">
        <v>226</v>
      </c>
      <c r="F205" s="141">
        <v>3117</v>
      </c>
      <c r="G205" s="117" t="s">
        <v>278</v>
      </c>
      <c r="H205" s="560" t="s">
        <v>263</v>
      </c>
      <c r="I205" s="580">
        <v>267475</v>
      </c>
      <c r="J205" s="490">
        <v>198424</v>
      </c>
      <c r="K205" s="490">
        <v>0</v>
      </c>
      <c r="L205" s="55">
        <v>67067</v>
      </c>
      <c r="M205" s="55">
        <v>1984</v>
      </c>
      <c r="N205" s="55">
        <v>0</v>
      </c>
      <c r="O205" s="614">
        <v>0.5</v>
      </c>
      <c r="P205" s="440">
        <f t="shared" si="463"/>
        <v>0</v>
      </c>
      <c r="Q205" s="325">
        <v>0</v>
      </c>
      <c r="R205" s="325">
        <v>0</v>
      </c>
      <c r="S205" s="325">
        <v>0</v>
      </c>
      <c r="T205" s="325">
        <v>0</v>
      </c>
      <c r="U205" s="325">
        <v>0</v>
      </c>
      <c r="V205" s="492">
        <f t="shared" si="464"/>
        <v>0</v>
      </c>
      <c r="W205" s="325">
        <v>0</v>
      </c>
      <c r="X205" s="325">
        <v>0</v>
      </c>
      <c r="Y205" s="325">
        <v>0</v>
      </c>
      <c r="Z205" s="492">
        <f t="shared" si="465"/>
        <v>0</v>
      </c>
      <c r="AA205" s="492">
        <f t="shared" si="466"/>
        <v>0</v>
      </c>
      <c r="AB205" s="494">
        <f t="shared" si="467"/>
        <v>0</v>
      </c>
      <c r="AC205" s="494">
        <f t="shared" si="468"/>
        <v>0</v>
      </c>
      <c r="AD205" s="492">
        <v>0</v>
      </c>
      <c r="AE205" s="753">
        <f t="shared" si="469"/>
        <v>0</v>
      </c>
      <c r="AF205" s="688">
        <v>0</v>
      </c>
      <c r="AG205" s="326">
        <v>0</v>
      </c>
      <c r="AH205" s="326">
        <v>0</v>
      </c>
      <c r="AI205" s="326">
        <v>0</v>
      </c>
      <c r="AJ205" s="326">
        <v>0</v>
      </c>
      <c r="AK205" s="326">
        <v>0</v>
      </c>
      <c r="AL205" s="609">
        <f t="shared" si="470"/>
        <v>0</v>
      </c>
      <c r="AM205" s="493">
        <f>I205+AE205</f>
        <v>267475</v>
      </c>
      <c r="AN205" s="492">
        <f>J205+V205</f>
        <v>198424</v>
      </c>
      <c r="AO205" s="573">
        <f t="shared" si="471"/>
        <v>0</v>
      </c>
      <c r="AP205" s="492">
        <f t="shared" si="472"/>
        <v>67067</v>
      </c>
      <c r="AQ205" s="492">
        <f t="shared" si="472"/>
        <v>1984</v>
      </c>
      <c r="AR205" s="492">
        <v>0</v>
      </c>
      <c r="AS205" s="491">
        <f t="shared" si="473"/>
        <v>0.5</v>
      </c>
    </row>
    <row r="206" spans="1:45" s="152" customFormat="1" ht="12.75" customHeight="1" x14ac:dyDescent="0.2">
      <c r="A206" s="140">
        <v>46</v>
      </c>
      <c r="B206" s="141">
        <v>4490</v>
      </c>
      <c r="C206" s="141">
        <v>600074692</v>
      </c>
      <c r="D206" s="141">
        <v>72745088</v>
      </c>
      <c r="E206" s="139" t="s">
        <v>226</v>
      </c>
      <c r="F206" s="141">
        <v>3143</v>
      </c>
      <c r="G206" s="117" t="s">
        <v>795</v>
      </c>
      <c r="H206" s="157" t="s">
        <v>262</v>
      </c>
      <c r="I206" s="580">
        <v>756923</v>
      </c>
      <c r="J206" s="490">
        <v>561516</v>
      </c>
      <c r="K206" s="490">
        <v>0</v>
      </c>
      <c r="L206" s="55">
        <v>189792</v>
      </c>
      <c r="M206" s="55">
        <v>5615</v>
      </c>
      <c r="N206" s="55">
        <v>0</v>
      </c>
      <c r="O206" s="614">
        <v>1.05</v>
      </c>
      <c r="P206" s="440">
        <f t="shared" si="463"/>
        <v>0</v>
      </c>
      <c r="Q206" s="325">
        <v>0</v>
      </c>
      <c r="R206" s="325">
        <v>0</v>
      </c>
      <c r="S206" s="325">
        <v>0</v>
      </c>
      <c r="T206" s="325">
        <v>0</v>
      </c>
      <c r="U206" s="325">
        <v>0</v>
      </c>
      <c r="V206" s="492">
        <f t="shared" si="464"/>
        <v>0</v>
      </c>
      <c r="W206" s="325">
        <v>0</v>
      </c>
      <c r="X206" s="325">
        <v>0</v>
      </c>
      <c r="Y206" s="325">
        <v>0</v>
      </c>
      <c r="Z206" s="492">
        <f t="shared" si="465"/>
        <v>0</v>
      </c>
      <c r="AA206" s="492">
        <f t="shared" si="466"/>
        <v>0</v>
      </c>
      <c r="AB206" s="494">
        <f t="shared" si="467"/>
        <v>0</v>
      </c>
      <c r="AC206" s="494">
        <f t="shared" si="468"/>
        <v>0</v>
      </c>
      <c r="AD206" s="492">
        <v>0</v>
      </c>
      <c r="AE206" s="753">
        <f t="shared" si="469"/>
        <v>0</v>
      </c>
      <c r="AF206" s="688">
        <v>0</v>
      </c>
      <c r="AG206" s="326">
        <v>0</v>
      </c>
      <c r="AH206" s="326">
        <v>0</v>
      </c>
      <c r="AI206" s="326">
        <v>0</v>
      </c>
      <c r="AJ206" s="326">
        <v>0</v>
      </c>
      <c r="AK206" s="326">
        <v>0</v>
      </c>
      <c r="AL206" s="609">
        <f t="shared" si="470"/>
        <v>0</v>
      </c>
      <c r="AM206" s="493">
        <f>I206+AE206</f>
        <v>756923</v>
      </c>
      <c r="AN206" s="492">
        <f>J206+V206</f>
        <v>561516</v>
      </c>
      <c r="AO206" s="573">
        <f t="shared" si="471"/>
        <v>0</v>
      </c>
      <c r="AP206" s="492">
        <f t="shared" si="472"/>
        <v>189792</v>
      </c>
      <c r="AQ206" s="492">
        <f t="shared" si="472"/>
        <v>5615</v>
      </c>
      <c r="AR206" s="492">
        <v>0</v>
      </c>
      <c r="AS206" s="491">
        <f t="shared" si="473"/>
        <v>1.05</v>
      </c>
    </row>
    <row r="207" spans="1:45" s="152" customFormat="1" ht="12.75" customHeight="1" x14ac:dyDescent="0.2">
      <c r="A207" s="107">
        <v>46</v>
      </c>
      <c r="B207" s="15">
        <v>4490</v>
      </c>
      <c r="C207" s="15">
        <v>600074692</v>
      </c>
      <c r="D207" s="15">
        <v>72745088</v>
      </c>
      <c r="E207" s="116" t="s">
        <v>227</v>
      </c>
      <c r="F207" s="15"/>
      <c r="G207" s="106"/>
      <c r="H207" s="555"/>
      <c r="I207" s="757">
        <v>4265627</v>
      </c>
      <c r="J207" s="341">
        <v>3164412</v>
      </c>
      <c r="K207" s="341">
        <v>0</v>
      </c>
      <c r="L207" s="341">
        <v>1069571</v>
      </c>
      <c r="M207" s="341">
        <v>31644</v>
      </c>
      <c r="N207" s="341">
        <v>0</v>
      </c>
      <c r="O207" s="36">
        <v>5.88</v>
      </c>
      <c r="P207" s="345">
        <f t="shared" ref="P207:AS207" si="474">SUM(P203:P206)</f>
        <v>0</v>
      </c>
      <c r="Q207" s="341">
        <f t="shared" si="474"/>
        <v>0</v>
      </c>
      <c r="R207" s="341">
        <f t="shared" si="474"/>
        <v>0</v>
      </c>
      <c r="S207" s="341">
        <f t="shared" si="474"/>
        <v>0</v>
      </c>
      <c r="T207" s="341">
        <f t="shared" si="474"/>
        <v>0</v>
      </c>
      <c r="U207" s="341">
        <f t="shared" si="474"/>
        <v>0</v>
      </c>
      <c r="V207" s="341">
        <f t="shared" si="474"/>
        <v>0</v>
      </c>
      <c r="W207" s="341">
        <f t="shared" si="474"/>
        <v>0</v>
      </c>
      <c r="X207" s="341">
        <f t="shared" si="474"/>
        <v>0</v>
      </c>
      <c r="Y207" s="341">
        <f t="shared" si="474"/>
        <v>0</v>
      </c>
      <c r="Z207" s="341">
        <f t="shared" si="474"/>
        <v>0</v>
      </c>
      <c r="AA207" s="341">
        <f t="shared" si="474"/>
        <v>0</v>
      </c>
      <c r="AB207" s="341">
        <f t="shared" si="474"/>
        <v>0</v>
      </c>
      <c r="AC207" s="341">
        <f t="shared" si="474"/>
        <v>0</v>
      </c>
      <c r="AD207" s="341">
        <f t="shared" si="474"/>
        <v>0</v>
      </c>
      <c r="AE207" s="762">
        <f t="shared" si="474"/>
        <v>0</v>
      </c>
      <c r="AF207" s="766">
        <f t="shared" si="474"/>
        <v>0</v>
      </c>
      <c r="AG207" s="342">
        <f t="shared" si="474"/>
        <v>0</v>
      </c>
      <c r="AH207" s="342">
        <f t="shared" si="474"/>
        <v>0</v>
      </c>
      <c r="AI207" s="342">
        <f t="shared" si="474"/>
        <v>0</v>
      </c>
      <c r="AJ207" s="342">
        <f t="shared" si="474"/>
        <v>0</v>
      </c>
      <c r="AK207" s="342">
        <f t="shared" si="474"/>
        <v>0</v>
      </c>
      <c r="AL207" s="36">
        <f t="shared" si="474"/>
        <v>0</v>
      </c>
      <c r="AM207" s="345">
        <f t="shared" si="474"/>
        <v>4265627</v>
      </c>
      <c r="AN207" s="341">
        <f t="shared" si="474"/>
        <v>3164412</v>
      </c>
      <c r="AO207" s="341">
        <f t="shared" si="474"/>
        <v>0</v>
      </c>
      <c r="AP207" s="341">
        <f t="shared" si="474"/>
        <v>1069571</v>
      </c>
      <c r="AQ207" s="341">
        <f t="shared" si="474"/>
        <v>31644</v>
      </c>
      <c r="AR207" s="341">
        <f t="shared" si="474"/>
        <v>0</v>
      </c>
      <c r="AS207" s="342">
        <f t="shared" si="474"/>
        <v>5.88</v>
      </c>
    </row>
    <row r="208" spans="1:45" s="152" customFormat="1" ht="12.75" customHeight="1" x14ac:dyDescent="0.2">
      <c r="A208" s="140">
        <v>47</v>
      </c>
      <c r="B208" s="141">
        <v>4491</v>
      </c>
      <c r="C208" s="141">
        <v>650050517</v>
      </c>
      <c r="D208" s="141">
        <v>72742437</v>
      </c>
      <c r="E208" s="139" t="s">
        <v>228</v>
      </c>
      <c r="F208" s="141">
        <v>3111</v>
      </c>
      <c r="G208" s="117" t="s">
        <v>277</v>
      </c>
      <c r="H208" s="560" t="s">
        <v>262</v>
      </c>
      <c r="I208" s="580">
        <v>1693666</v>
      </c>
      <c r="J208" s="490">
        <v>1250473</v>
      </c>
      <c r="K208" s="490">
        <v>6000</v>
      </c>
      <c r="L208" s="55">
        <v>424688</v>
      </c>
      <c r="M208" s="55">
        <v>12505</v>
      </c>
      <c r="N208" s="55">
        <v>0</v>
      </c>
      <c r="O208" s="614">
        <v>1.99</v>
      </c>
      <c r="P208" s="445">
        <f t="shared" ref="P208:P211" si="475">W208*-1</f>
        <v>-4000</v>
      </c>
      <c r="Q208" s="325">
        <v>0</v>
      </c>
      <c r="R208" s="325">
        <v>0</v>
      </c>
      <c r="S208" s="325">
        <v>0</v>
      </c>
      <c r="T208" s="325">
        <v>0</v>
      </c>
      <c r="U208" s="325">
        <v>0</v>
      </c>
      <c r="V208" s="492">
        <f t="shared" ref="V208:V211" si="476">P208+Q208+R208+S208+T208+U208</f>
        <v>-4000</v>
      </c>
      <c r="W208" s="325">
        <v>4000</v>
      </c>
      <c r="X208" s="325">
        <v>0</v>
      </c>
      <c r="Y208" s="325">
        <v>0</v>
      </c>
      <c r="Z208" s="492">
        <f t="shared" ref="Z208:Z211" si="477">W208+X208+Y208</f>
        <v>4000</v>
      </c>
      <c r="AA208" s="492">
        <f t="shared" ref="AA208:AA211" si="478">V208+Z208</f>
        <v>0</v>
      </c>
      <c r="AB208" s="494">
        <f t="shared" ref="AB208:AB211" si="479">ROUND((V208+Z208)*33.8%,0)</f>
        <v>0</v>
      </c>
      <c r="AC208" s="494">
        <f t="shared" ref="AC208:AC211" si="480">ROUND(V208*1%,0)</f>
        <v>-40</v>
      </c>
      <c r="AD208" s="492">
        <v>0</v>
      </c>
      <c r="AE208" s="753">
        <f t="shared" ref="AE208:AE211" si="481">AA208+AB208+AC208+AD208</f>
        <v>-40</v>
      </c>
      <c r="AF208" s="688">
        <v>-0.01</v>
      </c>
      <c r="AG208" s="326">
        <v>0</v>
      </c>
      <c r="AH208" s="326">
        <v>0</v>
      </c>
      <c r="AI208" s="326">
        <v>0</v>
      </c>
      <c r="AJ208" s="326">
        <v>0</v>
      </c>
      <c r="AK208" s="326">
        <v>0</v>
      </c>
      <c r="AL208" s="609">
        <f t="shared" ref="AL208:AL211" si="482">SUM(AF208:AK208)</f>
        <v>-0.01</v>
      </c>
      <c r="AM208" s="493">
        <f>I208+AE208</f>
        <v>1693626</v>
      </c>
      <c r="AN208" s="492">
        <f>J208+V208</f>
        <v>1246473</v>
      </c>
      <c r="AO208" s="573">
        <f t="shared" ref="AO208:AO211" si="483">K208+Z208</f>
        <v>10000</v>
      </c>
      <c r="AP208" s="492">
        <f t="shared" ref="AP208:AQ211" si="484">L208+AB208</f>
        <v>424688</v>
      </c>
      <c r="AQ208" s="492">
        <f t="shared" si="484"/>
        <v>12465</v>
      </c>
      <c r="AR208" s="492">
        <v>0</v>
      </c>
      <c r="AS208" s="491">
        <f t="shared" ref="AS208:AS211" si="485">O208+AL208</f>
        <v>1.98</v>
      </c>
    </row>
    <row r="209" spans="1:45" s="152" customFormat="1" ht="12.75" customHeight="1" x14ac:dyDescent="0.2">
      <c r="A209" s="140">
        <v>47</v>
      </c>
      <c r="B209" s="141">
        <v>4491</v>
      </c>
      <c r="C209" s="141">
        <v>650050517</v>
      </c>
      <c r="D209" s="141">
        <v>72742437</v>
      </c>
      <c r="E209" s="139" t="s">
        <v>228</v>
      </c>
      <c r="F209" s="141">
        <v>3117</v>
      </c>
      <c r="G209" s="117" t="s">
        <v>280</v>
      </c>
      <c r="H209" s="560" t="s">
        <v>262</v>
      </c>
      <c r="I209" s="580">
        <v>3240500</v>
      </c>
      <c r="J209" s="490">
        <v>2403932</v>
      </c>
      <c r="K209" s="490">
        <v>0</v>
      </c>
      <c r="L209" s="55">
        <v>812529</v>
      </c>
      <c r="M209" s="55">
        <v>24039</v>
      </c>
      <c r="N209" s="55">
        <v>0</v>
      </c>
      <c r="O209" s="614">
        <v>3.45</v>
      </c>
      <c r="P209" s="440">
        <f t="shared" si="475"/>
        <v>0</v>
      </c>
      <c r="Q209" s="325">
        <v>0</v>
      </c>
      <c r="R209" s="325">
        <v>0</v>
      </c>
      <c r="S209" s="325">
        <v>0</v>
      </c>
      <c r="T209" s="325">
        <v>0</v>
      </c>
      <c r="U209" s="325">
        <v>0</v>
      </c>
      <c r="V209" s="492">
        <f t="shared" si="476"/>
        <v>0</v>
      </c>
      <c r="W209" s="325">
        <v>0</v>
      </c>
      <c r="X209" s="325">
        <v>0</v>
      </c>
      <c r="Y209" s="325">
        <v>0</v>
      </c>
      <c r="Z209" s="492">
        <f t="shared" si="477"/>
        <v>0</v>
      </c>
      <c r="AA209" s="492">
        <f t="shared" si="478"/>
        <v>0</v>
      </c>
      <c r="AB209" s="494">
        <f t="shared" si="479"/>
        <v>0</v>
      </c>
      <c r="AC209" s="494">
        <f t="shared" si="480"/>
        <v>0</v>
      </c>
      <c r="AD209" s="492">
        <v>0</v>
      </c>
      <c r="AE209" s="753">
        <f t="shared" si="481"/>
        <v>0</v>
      </c>
      <c r="AF209" s="688">
        <v>0</v>
      </c>
      <c r="AG209" s="326">
        <v>0</v>
      </c>
      <c r="AH209" s="326">
        <v>0</v>
      </c>
      <c r="AI209" s="326">
        <v>0</v>
      </c>
      <c r="AJ209" s="326">
        <v>0</v>
      </c>
      <c r="AK209" s="326">
        <v>0</v>
      </c>
      <c r="AL209" s="609">
        <f t="shared" si="482"/>
        <v>0</v>
      </c>
      <c r="AM209" s="493">
        <f>I209+AE209</f>
        <v>3240500</v>
      </c>
      <c r="AN209" s="492">
        <f>J209+V209</f>
        <v>2403932</v>
      </c>
      <c r="AO209" s="573">
        <f t="shared" si="483"/>
        <v>0</v>
      </c>
      <c r="AP209" s="492">
        <f t="shared" si="484"/>
        <v>812529</v>
      </c>
      <c r="AQ209" s="492">
        <f t="shared" si="484"/>
        <v>24039</v>
      </c>
      <c r="AR209" s="492">
        <v>0</v>
      </c>
      <c r="AS209" s="491">
        <f t="shared" si="485"/>
        <v>3.45</v>
      </c>
    </row>
    <row r="210" spans="1:45" s="152" customFormat="1" ht="12.75" customHeight="1" x14ac:dyDescent="0.2">
      <c r="A210" s="140">
        <v>47</v>
      </c>
      <c r="B210" s="141">
        <v>4491</v>
      </c>
      <c r="C210" s="141">
        <v>650050517</v>
      </c>
      <c r="D210" s="141">
        <v>72742437</v>
      </c>
      <c r="E210" s="139" t="s">
        <v>228</v>
      </c>
      <c r="F210" s="141">
        <v>3117</v>
      </c>
      <c r="G210" s="117" t="s">
        <v>278</v>
      </c>
      <c r="H210" s="560" t="s">
        <v>263</v>
      </c>
      <c r="I210" s="580">
        <v>401213</v>
      </c>
      <c r="J210" s="490">
        <v>297636</v>
      </c>
      <c r="K210" s="490">
        <v>0</v>
      </c>
      <c r="L210" s="55">
        <v>100601</v>
      </c>
      <c r="M210" s="55">
        <v>2976</v>
      </c>
      <c r="N210" s="55">
        <v>0</v>
      </c>
      <c r="O210" s="614">
        <v>0.75</v>
      </c>
      <c r="P210" s="440">
        <f t="shared" si="475"/>
        <v>0</v>
      </c>
      <c r="Q210" s="325">
        <v>0</v>
      </c>
      <c r="R210" s="325">
        <v>0</v>
      </c>
      <c r="S210" s="325">
        <v>0</v>
      </c>
      <c r="T210" s="325">
        <v>0</v>
      </c>
      <c r="U210" s="325">
        <v>0</v>
      </c>
      <c r="V210" s="492">
        <f t="shared" si="476"/>
        <v>0</v>
      </c>
      <c r="W210" s="325">
        <v>0</v>
      </c>
      <c r="X210" s="325">
        <v>0</v>
      </c>
      <c r="Y210" s="325">
        <v>0</v>
      </c>
      <c r="Z210" s="492">
        <f t="shared" si="477"/>
        <v>0</v>
      </c>
      <c r="AA210" s="492">
        <f t="shared" si="478"/>
        <v>0</v>
      </c>
      <c r="AB210" s="494">
        <f t="shared" si="479"/>
        <v>0</v>
      </c>
      <c r="AC210" s="494">
        <f t="shared" si="480"/>
        <v>0</v>
      </c>
      <c r="AD210" s="492">
        <v>0</v>
      </c>
      <c r="AE210" s="753">
        <f t="shared" si="481"/>
        <v>0</v>
      </c>
      <c r="AF210" s="688">
        <v>0</v>
      </c>
      <c r="AG210" s="326">
        <v>0</v>
      </c>
      <c r="AH210" s="326">
        <v>0</v>
      </c>
      <c r="AI210" s="326">
        <v>0</v>
      </c>
      <c r="AJ210" s="326">
        <v>0</v>
      </c>
      <c r="AK210" s="326">
        <v>0</v>
      </c>
      <c r="AL210" s="609">
        <f t="shared" si="482"/>
        <v>0</v>
      </c>
      <c r="AM210" s="493">
        <f>I210+AE210</f>
        <v>401213</v>
      </c>
      <c r="AN210" s="492">
        <f>J210+V210</f>
        <v>297636</v>
      </c>
      <c r="AO210" s="573">
        <f t="shared" si="483"/>
        <v>0</v>
      </c>
      <c r="AP210" s="492">
        <f t="shared" si="484"/>
        <v>100601</v>
      </c>
      <c r="AQ210" s="492">
        <f t="shared" si="484"/>
        <v>2976</v>
      </c>
      <c r="AR210" s="492">
        <v>0</v>
      </c>
      <c r="AS210" s="491">
        <f t="shared" si="485"/>
        <v>0.75</v>
      </c>
    </row>
    <row r="211" spans="1:45" s="152" customFormat="1" ht="12.75" customHeight="1" x14ac:dyDescent="0.2">
      <c r="A211" s="140">
        <v>47</v>
      </c>
      <c r="B211" s="141">
        <v>4491</v>
      </c>
      <c r="C211" s="141">
        <v>650050517</v>
      </c>
      <c r="D211" s="141">
        <v>72742437</v>
      </c>
      <c r="E211" s="139" t="s">
        <v>228</v>
      </c>
      <c r="F211" s="141">
        <v>3143</v>
      </c>
      <c r="G211" s="117" t="s">
        <v>794</v>
      </c>
      <c r="H211" s="157" t="s">
        <v>262</v>
      </c>
      <c r="I211" s="580">
        <v>721323</v>
      </c>
      <c r="J211" s="490">
        <v>535106</v>
      </c>
      <c r="K211" s="490">
        <v>0</v>
      </c>
      <c r="L211" s="55">
        <v>180866</v>
      </c>
      <c r="M211" s="55">
        <v>5351</v>
      </c>
      <c r="N211" s="55">
        <v>0</v>
      </c>
      <c r="O211" s="614">
        <v>1</v>
      </c>
      <c r="P211" s="440">
        <f t="shared" si="475"/>
        <v>0</v>
      </c>
      <c r="Q211" s="325">
        <v>0</v>
      </c>
      <c r="R211" s="325">
        <v>0</v>
      </c>
      <c r="S211" s="325">
        <v>0</v>
      </c>
      <c r="T211" s="325">
        <v>0</v>
      </c>
      <c r="U211" s="325">
        <v>0</v>
      </c>
      <c r="V211" s="492">
        <f t="shared" si="476"/>
        <v>0</v>
      </c>
      <c r="W211" s="325">
        <v>0</v>
      </c>
      <c r="X211" s="325">
        <v>0</v>
      </c>
      <c r="Y211" s="325">
        <v>0</v>
      </c>
      <c r="Z211" s="492">
        <f t="shared" si="477"/>
        <v>0</v>
      </c>
      <c r="AA211" s="492">
        <f t="shared" si="478"/>
        <v>0</v>
      </c>
      <c r="AB211" s="494">
        <f t="shared" si="479"/>
        <v>0</v>
      </c>
      <c r="AC211" s="494">
        <f t="shared" si="480"/>
        <v>0</v>
      </c>
      <c r="AD211" s="492">
        <v>0</v>
      </c>
      <c r="AE211" s="753">
        <f t="shared" si="481"/>
        <v>0</v>
      </c>
      <c r="AF211" s="688">
        <v>0</v>
      </c>
      <c r="AG211" s="326">
        <v>0</v>
      </c>
      <c r="AH211" s="326">
        <v>0</v>
      </c>
      <c r="AI211" s="326">
        <v>0</v>
      </c>
      <c r="AJ211" s="326">
        <v>0</v>
      </c>
      <c r="AK211" s="326">
        <v>0</v>
      </c>
      <c r="AL211" s="609">
        <f t="shared" si="482"/>
        <v>0</v>
      </c>
      <c r="AM211" s="493">
        <f>I211+AE211</f>
        <v>721323</v>
      </c>
      <c r="AN211" s="492">
        <f>J211+V211</f>
        <v>535106</v>
      </c>
      <c r="AO211" s="573">
        <f t="shared" si="483"/>
        <v>0</v>
      </c>
      <c r="AP211" s="492">
        <f t="shared" si="484"/>
        <v>180866</v>
      </c>
      <c r="AQ211" s="492">
        <f t="shared" si="484"/>
        <v>5351</v>
      </c>
      <c r="AR211" s="492">
        <v>0</v>
      </c>
      <c r="AS211" s="491">
        <f t="shared" si="485"/>
        <v>1</v>
      </c>
    </row>
    <row r="212" spans="1:45" s="152" customFormat="1" ht="12.75" customHeight="1" x14ac:dyDescent="0.2">
      <c r="A212" s="107">
        <v>47</v>
      </c>
      <c r="B212" s="15">
        <v>4491</v>
      </c>
      <c r="C212" s="15">
        <v>650050517</v>
      </c>
      <c r="D212" s="15">
        <v>72742437</v>
      </c>
      <c r="E212" s="116" t="s">
        <v>229</v>
      </c>
      <c r="F212" s="15"/>
      <c r="G212" s="106"/>
      <c r="H212" s="555"/>
      <c r="I212" s="758">
        <v>6056702</v>
      </c>
      <c r="J212" s="343">
        <v>4487147</v>
      </c>
      <c r="K212" s="343">
        <v>6000</v>
      </c>
      <c r="L212" s="343">
        <v>1518684</v>
      </c>
      <c r="M212" s="343">
        <v>44871</v>
      </c>
      <c r="N212" s="343">
        <v>0</v>
      </c>
      <c r="O212" s="35">
        <v>7.19</v>
      </c>
      <c r="P212" s="346">
        <f t="shared" ref="P212:AS212" si="486">SUM(P208:P211)</f>
        <v>-4000</v>
      </c>
      <c r="Q212" s="343">
        <f t="shared" si="486"/>
        <v>0</v>
      </c>
      <c r="R212" s="343">
        <f t="shared" si="486"/>
        <v>0</v>
      </c>
      <c r="S212" s="343">
        <f t="shared" si="486"/>
        <v>0</v>
      </c>
      <c r="T212" s="343">
        <f t="shared" si="486"/>
        <v>0</v>
      </c>
      <c r="U212" s="343">
        <f t="shared" si="486"/>
        <v>0</v>
      </c>
      <c r="V212" s="343">
        <f t="shared" si="486"/>
        <v>-4000</v>
      </c>
      <c r="W212" s="343">
        <f t="shared" si="486"/>
        <v>4000</v>
      </c>
      <c r="X212" s="343">
        <f t="shared" si="486"/>
        <v>0</v>
      </c>
      <c r="Y212" s="343">
        <f t="shared" si="486"/>
        <v>0</v>
      </c>
      <c r="Z212" s="343">
        <f t="shared" si="486"/>
        <v>4000</v>
      </c>
      <c r="AA212" s="343">
        <f t="shared" si="486"/>
        <v>0</v>
      </c>
      <c r="AB212" s="343">
        <f t="shared" si="486"/>
        <v>0</v>
      </c>
      <c r="AC212" s="343">
        <f t="shared" si="486"/>
        <v>-40</v>
      </c>
      <c r="AD212" s="343">
        <f t="shared" si="486"/>
        <v>0</v>
      </c>
      <c r="AE212" s="763">
        <f t="shared" si="486"/>
        <v>-40</v>
      </c>
      <c r="AF212" s="767">
        <f t="shared" si="486"/>
        <v>-0.01</v>
      </c>
      <c r="AG212" s="344">
        <f t="shared" si="486"/>
        <v>0</v>
      </c>
      <c r="AH212" s="344">
        <f t="shared" si="486"/>
        <v>0</v>
      </c>
      <c r="AI212" s="344">
        <f t="shared" si="486"/>
        <v>0</v>
      </c>
      <c r="AJ212" s="344">
        <f t="shared" si="486"/>
        <v>0</v>
      </c>
      <c r="AK212" s="344">
        <f t="shared" si="486"/>
        <v>0</v>
      </c>
      <c r="AL212" s="35">
        <f t="shared" si="486"/>
        <v>-0.01</v>
      </c>
      <c r="AM212" s="346">
        <f t="shared" si="486"/>
        <v>6056662</v>
      </c>
      <c r="AN212" s="343">
        <f t="shared" si="486"/>
        <v>4483147</v>
      </c>
      <c r="AO212" s="343">
        <f t="shared" si="486"/>
        <v>10000</v>
      </c>
      <c r="AP212" s="343">
        <f t="shared" si="486"/>
        <v>1518684</v>
      </c>
      <c r="AQ212" s="343">
        <f t="shared" si="486"/>
        <v>44831</v>
      </c>
      <c r="AR212" s="343">
        <f t="shared" si="486"/>
        <v>0</v>
      </c>
      <c r="AS212" s="344">
        <f t="shared" si="486"/>
        <v>7.18</v>
      </c>
    </row>
    <row r="213" spans="1:45" s="152" customFormat="1" ht="12.75" customHeight="1" x14ac:dyDescent="0.2">
      <c r="A213" s="140">
        <v>48</v>
      </c>
      <c r="B213" s="141">
        <v>4465</v>
      </c>
      <c r="C213" s="141">
        <v>600074757</v>
      </c>
      <c r="D213" s="141">
        <v>46750428</v>
      </c>
      <c r="E213" s="139" t="s">
        <v>230</v>
      </c>
      <c r="F213" s="141">
        <v>3111</v>
      </c>
      <c r="G213" s="117" t="s">
        <v>277</v>
      </c>
      <c r="H213" s="560" t="s">
        <v>262</v>
      </c>
      <c r="I213" s="580">
        <v>8143788</v>
      </c>
      <c r="J213" s="490">
        <v>6041386</v>
      </c>
      <c r="K213" s="490">
        <v>0</v>
      </c>
      <c r="L213" s="55">
        <v>2041988</v>
      </c>
      <c r="M213" s="55">
        <v>60414</v>
      </c>
      <c r="N213" s="55">
        <v>0</v>
      </c>
      <c r="O213" s="614">
        <v>10</v>
      </c>
      <c r="P213" s="445">
        <f t="shared" ref="P213:P216" si="487">W213*-1</f>
        <v>0</v>
      </c>
      <c r="Q213" s="325">
        <v>0</v>
      </c>
      <c r="R213" s="325">
        <v>0</v>
      </c>
      <c r="S213" s="325">
        <v>0</v>
      </c>
      <c r="T213" s="325">
        <v>0</v>
      </c>
      <c r="U213" s="325">
        <v>0</v>
      </c>
      <c r="V213" s="492">
        <f t="shared" ref="V213:V216" si="488">P213+Q213+R213+S213+T213+U213</f>
        <v>0</v>
      </c>
      <c r="W213" s="325">
        <v>0</v>
      </c>
      <c r="X213" s="325">
        <v>0</v>
      </c>
      <c r="Y213" s="325">
        <v>0</v>
      </c>
      <c r="Z213" s="492">
        <f t="shared" ref="Z213:Z216" si="489">W213+X213+Y213</f>
        <v>0</v>
      </c>
      <c r="AA213" s="492">
        <f t="shared" ref="AA213:AA216" si="490">V213+Z213</f>
        <v>0</v>
      </c>
      <c r="AB213" s="494">
        <f t="shared" ref="AB213:AB216" si="491">ROUND((V213+Z213)*33.8%,0)</f>
        <v>0</v>
      </c>
      <c r="AC213" s="494">
        <f t="shared" ref="AC213:AC216" si="492">ROUND(V213*1%,0)</f>
        <v>0</v>
      </c>
      <c r="AD213" s="492">
        <v>0</v>
      </c>
      <c r="AE213" s="753">
        <f t="shared" ref="AE213:AE216" si="493">AA213+AB213+AC213+AD213</f>
        <v>0</v>
      </c>
      <c r="AF213" s="688">
        <v>0</v>
      </c>
      <c r="AG213" s="326">
        <v>0</v>
      </c>
      <c r="AH213" s="326">
        <v>0</v>
      </c>
      <c r="AI213" s="326">
        <v>0</v>
      </c>
      <c r="AJ213" s="326">
        <v>0</v>
      </c>
      <c r="AK213" s="326">
        <v>0</v>
      </c>
      <c r="AL213" s="609">
        <f t="shared" ref="AL213:AL216" si="494">SUM(AF213:AK213)</f>
        <v>0</v>
      </c>
      <c r="AM213" s="493">
        <f>I213+AE213</f>
        <v>8143788</v>
      </c>
      <c r="AN213" s="492">
        <f>J213+V213</f>
        <v>6041386</v>
      </c>
      <c r="AO213" s="573">
        <f t="shared" ref="AO213:AO216" si="495">K213+Z213</f>
        <v>0</v>
      </c>
      <c r="AP213" s="492">
        <f t="shared" ref="AP213:AQ216" si="496">L213+AB213</f>
        <v>2041988</v>
      </c>
      <c r="AQ213" s="492">
        <f t="shared" si="496"/>
        <v>60414</v>
      </c>
      <c r="AR213" s="492">
        <v>0</v>
      </c>
      <c r="AS213" s="491">
        <f t="shared" ref="AS213:AS216" si="497">O213+AL213</f>
        <v>10</v>
      </c>
    </row>
    <row r="214" spans="1:45" s="152" customFormat="1" ht="12.75" customHeight="1" x14ac:dyDescent="0.2">
      <c r="A214" s="140">
        <v>48</v>
      </c>
      <c r="B214" s="141">
        <v>4465</v>
      </c>
      <c r="C214" s="141">
        <v>600074757</v>
      </c>
      <c r="D214" s="141">
        <v>46750428</v>
      </c>
      <c r="E214" s="139" t="s">
        <v>230</v>
      </c>
      <c r="F214" s="141">
        <v>3113</v>
      </c>
      <c r="G214" s="117" t="s">
        <v>280</v>
      </c>
      <c r="H214" s="560" t="s">
        <v>262</v>
      </c>
      <c r="I214" s="580">
        <v>24670620</v>
      </c>
      <c r="J214" s="490">
        <v>18230181</v>
      </c>
      <c r="K214" s="490">
        <v>72000</v>
      </c>
      <c r="L214" s="55">
        <v>6186137</v>
      </c>
      <c r="M214" s="55">
        <v>182302</v>
      </c>
      <c r="N214" s="55">
        <v>0</v>
      </c>
      <c r="O214" s="614">
        <v>24.79</v>
      </c>
      <c r="P214" s="440">
        <f t="shared" si="487"/>
        <v>-48000</v>
      </c>
      <c r="Q214" s="325">
        <v>0</v>
      </c>
      <c r="R214" s="325">
        <v>0</v>
      </c>
      <c r="S214" s="325">
        <v>0</v>
      </c>
      <c r="T214" s="325">
        <v>0</v>
      </c>
      <c r="U214" s="325">
        <v>0</v>
      </c>
      <c r="V214" s="492">
        <f t="shared" si="488"/>
        <v>-48000</v>
      </c>
      <c r="W214" s="325">
        <v>48000</v>
      </c>
      <c r="X214" s="325">
        <v>0</v>
      </c>
      <c r="Y214" s="325">
        <v>0</v>
      </c>
      <c r="Z214" s="492">
        <f t="shared" si="489"/>
        <v>48000</v>
      </c>
      <c r="AA214" s="492">
        <f t="shared" si="490"/>
        <v>0</v>
      </c>
      <c r="AB214" s="494">
        <f t="shared" si="491"/>
        <v>0</v>
      </c>
      <c r="AC214" s="494">
        <f t="shared" si="492"/>
        <v>-480</v>
      </c>
      <c r="AD214" s="492">
        <v>0</v>
      </c>
      <c r="AE214" s="753">
        <f t="shared" si="493"/>
        <v>-480</v>
      </c>
      <c r="AF214" s="688">
        <v>-0.08</v>
      </c>
      <c r="AG214" s="326">
        <v>0</v>
      </c>
      <c r="AH214" s="326">
        <v>0</v>
      </c>
      <c r="AI214" s="326">
        <v>0</v>
      </c>
      <c r="AJ214" s="326">
        <v>0</v>
      </c>
      <c r="AK214" s="326">
        <v>0</v>
      </c>
      <c r="AL214" s="609">
        <f t="shared" si="494"/>
        <v>-0.08</v>
      </c>
      <c r="AM214" s="493">
        <f>I214+AE214</f>
        <v>24670140</v>
      </c>
      <c r="AN214" s="492">
        <f>J214+V214</f>
        <v>18182181</v>
      </c>
      <c r="AO214" s="573">
        <f t="shared" si="495"/>
        <v>120000</v>
      </c>
      <c r="AP214" s="492">
        <f t="shared" si="496"/>
        <v>6186137</v>
      </c>
      <c r="AQ214" s="492">
        <f t="shared" si="496"/>
        <v>181822</v>
      </c>
      <c r="AR214" s="492">
        <v>0</v>
      </c>
      <c r="AS214" s="491">
        <f t="shared" si="497"/>
        <v>24.71</v>
      </c>
    </row>
    <row r="215" spans="1:45" s="152" customFormat="1" ht="12.75" customHeight="1" x14ac:dyDescent="0.2">
      <c r="A215" s="140">
        <v>48</v>
      </c>
      <c r="B215" s="141">
        <v>4465</v>
      </c>
      <c r="C215" s="141">
        <v>600074757</v>
      </c>
      <c r="D215" s="141">
        <v>46750428</v>
      </c>
      <c r="E215" s="139" t="s">
        <v>230</v>
      </c>
      <c r="F215" s="141">
        <v>3113</v>
      </c>
      <c r="G215" s="117" t="s">
        <v>278</v>
      </c>
      <c r="H215" s="560" t="s">
        <v>263</v>
      </c>
      <c r="I215" s="580">
        <v>2169547</v>
      </c>
      <c r="J215" s="490">
        <v>1609456</v>
      </c>
      <c r="K215" s="490">
        <v>0</v>
      </c>
      <c r="L215" s="55">
        <v>543996</v>
      </c>
      <c r="M215" s="55">
        <v>16095</v>
      </c>
      <c r="N215" s="55">
        <v>0</v>
      </c>
      <c r="O215" s="614">
        <v>4.0599999999999996</v>
      </c>
      <c r="P215" s="440">
        <f t="shared" si="487"/>
        <v>0</v>
      </c>
      <c r="Q215" s="325">
        <v>-82676</v>
      </c>
      <c r="R215" s="325">
        <v>0</v>
      </c>
      <c r="S215" s="325">
        <v>0</v>
      </c>
      <c r="T215" s="325">
        <v>0</v>
      </c>
      <c r="U215" s="325">
        <v>0</v>
      </c>
      <c r="V215" s="492">
        <f t="shared" si="488"/>
        <v>-82676</v>
      </c>
      <c r="W215" s="325">
        <v>0</v>
      </c>
      <c r="X215" s="325">
        <v>0</v>
      </c>
      <c r="Y215" s="325">
        <v>0</v>
      </c>
      <c r="Z215" s="492">
        <f t="shared" si="489"/>
        <v>0</v>
      </c>
      <c r="AA215" s="492">
        <f t="shared" si="490"/>
        <v>-82676</v>
      </c>
      <c r="AB215" s="494">
        <f t="shared" si="491"/>
        <v>-27944</v>
      </c>
      <c r="AC215" s="494">
        <f t="shared" si="492"/>
        <v>-827</v>
      </c>
      <c r="AD215" s="492">
        <v>0</v>
      </c>
      <c r="AE215" s="753">
        <f t="shared" si="493"/>
        <v>-111447</v>
      </c>
      <c r="AF215" s="688">
        <v>0</v>
      </c>
      <c r="AG215" s="326">
        <v>-0.2</v>
      </c>
      <c r="AH215" s="326">
        <v>0</v>
      </c>
      <c r="AI215" s="326">
        <v>0</v>
      </c>
      <c r="AJ215" s="326">
        <v>0</v>
      </c>
      <c r="AK215" s="326">
        <v>0</v>
      </c>
      <c r="AL215" s="609">
        <f t="shared" si="494"/>
        <v>-0.2</v>
      </c>
      <c r="AM215" s="493">
        <f>I215+AE215</f>
        <v>2058100</v>
      </c>
      <c r="AN215" s="492">
        <f>J215+V215</f>
        <v>1526780</v>
      </c>
      <c r="AO215" s="573">
        <f t="shared" si="495"/>
        <v>0</v>
      </c>
      <c r="AP215" s="492">
        <f t="shared" si="496"/>
        <v>516052</v>
      </c>
      <c r="AQ215" s="492">
        <f t="shared" si="496"/>
        <v>15268</v>
      </c>
      <c r="AR215" s="492">
        <v>0</v>
      </c>
      <c r="AS215" s="491">
        <f t="shared" si="497"/>
        <v>3.8599999999999994</v>
      </c>
    </row>
    <row r="216" spans="1:45" s="152" customFormat="1" ht="12.75" customHeight="1" x14ac:dyDescent="0.2">
      <c r="A216" s="140">
        <v>48</v>
      </c>
      <c r="B216" s="141">
        <v>4465</v>
      </c>
      <c r="C216" s="141">
        <v>600074757</v>
      </c>
      <c r="D216" s="141">
        <v>46750428</v>
      </c>
      <c r="E216" s="139" t="s">
        <v>230</v>
      </c>
      <c r="F216" s="141">
        <v>3143</v>
      </c>
      <c r="G216" s="117" t="s">
        <v>794</v>
      </c>
      <c r="H216" s="157" t="s">
        <v>262</v>
      </c>
      <c r="I216" s="580">
        <v>2622520</v>
      </c>
      <c r="J216" s="490">
        <v>1938343</v>
      </c>
      <c r="K216" s="490">
        <v>7200</v>
      </c>
      <c r="L216" s="55">
        <v>657594</v>
      </c>
      <c r="M216" s="55">
        <v>19383</v>
      </c>
      <c r="N216" s="55">
        <v>0</v>
      </c>
      <c r="O216" s="614">
        <v>3.57</v>
      </c>
      <c r="P216" s="440">
        <f t="shared" si="487"/>
        <v>-4800</v>
      </c>
      <c r="Q216" s="325">
        <v>0</v>
      </c>
      <c r="R216" s="325">
        <v>0</v>
      </c>
      <c r="S216" s="325">
        <v>0</v>
      </c>
      <c r="T216" s="325">
        <v>0</v>
      </c>
      <c r="U216" s="325">
        <v>0</v>
      </c>
      <c r="V216" s="492">
        <f t="shared" si="488"/>
        <v>-4800</v>
      </c>
      <c r="W216" s="325">
        <v>4800</v>
      </c>
      <c r="X216" s="325">
        <v>0</v>
      </c>
      <c r="Y216" s="325">
        <v>0</v>
      </c>
      <c r="Z216" s="492">
        <f t="shared" si="489"/>
        <v>4800</v>
      </c>
      <c r="AA216" s="492">
        <f t="shared" si="490"/>
        <v>0</v>
      </c>
      <c r="AB216" s="494">
        <f t="shared" si="491"/>
        <v>0</v>
      </c>
      <c r="AC216" s="494">
        <f t="shared" si="492"/>
        <v>-48</v>
      </c>
      <c r="AD216" s="492">
        <v>0</v>
      </c>
      <c r="AE216" s="753">
        <f t="shared" si="493"/>
        <v>-48</v>
      </c>
      <c r="AF216" s="688">
        <v>0</v>
      </c>
      <c r="AG216" s="326">
        <v>0</v>
      </c>
      <c r="AH216" s="326">
        <v>0</v>
      </c>
      <c r="AI216" s="326">
        <v>0</v>
      </c>
      <c r="AJ216" s="326">
        <v>0</v>
      </c>
      <c r="AK216" s="326">
        <v>0</v>
      </c>
      <c r="AL216" s="609">
        <f t="shared" si="494"/>
        <v>0</v>
      </c>
      <c r="AM216" s="493">
        <f>I216+AE216</f>
        <v>2622472</v>
      </c>
      <c r="AN216" s="492">
        <f>J216+V216</f>
        <v>1933543</v>
      </c>
      <c r="AO216" s="573">
        <f t="shared" si="495"/>
        <v>12000</v>
      </c>
      <c r="AP216" s="492">
        <f t="shared" si="496"/>
        <v>657594</v>
      </c>
      <c r="AQ216" s="492">
        <f t="shared" si="496"/>
        <v>19335</v>
      </c>
      <c r="AR216" s="492">
        <v>0</v>
      </c>
      <c r="AS216" s="491">
        <f t="shared" si="497"/>
        <v>3.57</v>
      </c>
    </row>
    <row r="217" spans="1:45" s="152" customFormat="1" ht="12.75" customHeight="1" x14ac:dyDescent="0.2">
      <c r="A217" s="107">
        <v>48</v>
      </c>
      <c r="B217" s="15">
        <v>4465</v>
      </c>
      <c r="C217" s="15">
        <v>600074757</v>
      </c>
      <c r="D217" s="15">
        <v>46750428</v>
      </c>
      <c r="E217" s="116" t="s">
        <v>231</v>
      </c>
      <c r="F217" s="15"/>
      <c r="G217" s="106"/>
      <c r="H217" s="555"/>
      <c r="I217" s="758">
        <v>37606475</v>
      </c>
      <c r="J217" s="343">
        <v>27819366</v>
      </c>
      <c r="K217" s="343">
        <v>79200</v>
      </c>
      <c r="L217" s="343">
        <v>9429715</v>
      </c>
      <c r="M217" s="343">
        <v>278194</v>
      </c>
      <c r="N217" s="343">
        <v>0</v>
      </c>
      <c r="O217" s="35">
        <v>42.42</v>
      </c>
      <c r="P217" s="346">
        <f t="shared" ref="P217:AS217" si="498">SUM(P213:P216)</f>
        <v>-52800</v>
      </c>
      <c r="Q217" s="343">
        <f t="shared" si="498"/>
        <v>-82676</v>
      </c>
      <c r="R217" s="343">
        <f t="shared" si="498"/>
        <v>0</v>
      </c>
      <c r="S217" s="343">
        <f t="shared" si="498"/>
        <v>0</v>
      </c>
      <c r="T217" s="343">
        <f t="shared" si="498"/>
        <v>0</v>
      </c>
      <c r="U217" s="343">
        <f t="shared" si="498"/>
        <v>0</v>
      </c>
      <c r="V217" s="343">
        <f t="shared" si="498"/>
        <v>-135476</v>
      </c>
      <c r="W217" s="343">
        <f t="shared" si="498"/>
        <v>52800</v>
      </c>
      <c r="X217" s="343">
        <f t="shared" si="498"/>
        <v>0</v>
      </c>
      <c r="Y217" s="343">
        <f t="shared" si="498"/>
        <v>0</v>
      </c>
      <c r="Z217" s="343">
        <f t="shared" si="498"/>
        <v>52800</v>
      </c>
      <c r="AA217" s="343">
        <f t="shared" si="498"/>
        <v>-82676</v>
      </c>
      <c r="AB217" s="343">
        <f t="shared" si="498"/>
        <v>-27944</v>
      </c>
      <c r="AC217" s="343">
        <f t="shared" si="498"/>
        <v>-1355</v>
      </c>
      <c r="AD217" s="343">
        <f t="shared" si="498"/>
        <v>0</v>
      </c>
      <c r="AE217" s="763">
        <f t="shared" si="498"/>
        <v>-111975</v>
      </c>
      <c r="AF217" s="767">
        <f t="shared" si="498"/>
        <v>-0.08</v>
      </c>
      <c r="AG217" s="344">
        <f t="shared" si="498"/>
        <v>-0.2</v>
      </c>
      <c r="AH217" s="344">
        <f t="shared" si="498"/>
        <v>0</v>
      </c>
      <c r="AI217" s="344">
        <f t="shared" si="498"/>
        <v>0</v>
      </c>
      <c r="AJ217" s="344">
        <f t="shared" si="498"/>
        <v>0</v>
      </c>
      <c r="AK217" s="344">
        <f t="shared" si="498"/>
        <v>0</v>
      </c>
      <c r="AL217" s="35">
        <f t="shared" si="498"/>
        <v>-0.28000000000000003</v>
      </c>
      <c r="AM217" s="346">
        <f t="shared" si="498"/>
        <v>37494500</v>
      </c>
      <c r="AN217" s="343">
        <f t="shared" si="498"/>
        <v>27683890</v>
      </c>
      <c r="AO217" s="343">
        <f t="shared" si="498"/>
        <v>132000</v>
      </c>
      <c r="AP217" s="343">
        <f t="shared" si="498"/>
        <v>9401771</v>
      </c>
      <c r="AQ217" s="343">
        <f t="shared" si="498"/>
        <v>276839</v>
      </c>
      <c r="AR217" s="343">
        <f t="shared" si="498"/>
        <v>0</v>
      </c>
      <c r="AS217" s="344">
        <f t="shared" si="498"/>
        <v>42.14</v>
      </c>
    </row>
    <row r="218" spans="1:45" s="152" customFormat="1" x14ac:dyDescent="0.2">
      <c r="A218" s="140">
        <v>49</v>
      </c>
      <c r="B218" s="141">
        <v>4466</v>
      </c>
      <c r="C218" s="141">
        <v>650039017</v>
      </c>
      <c r="D218" s="141">
        <v>70982074</v>
      </c>
      <c r="E218" s="139" t="s">
        <v>232</v>
      </c>
      <c r="F218" s="141">
        <v>3111</v>
      </c>
      <c r="G218" s="117" t="s">
        <v>277</v>
      </c>
      <c r="H218" s="560" t="s">
        <v>262</v>
      </c>
      <c r="I218" s="580">
        <v>5874375</v>
      </c>
      <c r="J218" s="490">
        <v>4357845</v>
      </c>
      <c r="K218" s="490">
        <v>0</v>
      </c>
      <c r="L218" s="55">
        <v>1472952</v>
      </c>
      <c r="M218" s="55">
        <v>43578</v>
      </c>
      <c r="N218" s="55">
        <v>0</v>
      </c>
      <c r="O218" s="614">
        <v>7.93</v>
      </c>
      <c r="P218" s="445">
        <f t="shared" ref="P218:P221" si="499">W218*-1</f>
        <v>0</v>
      </c>
      <c r="Q218" s="325">
        <v>0</v>
      </c>
      <c r="R218" s="325">
        <v>0</v>
      </c>
      <c r="S218" s="325">
        <v>0</v>
      </c>
      <c r="T218" s="325">
        <v>0</v>
      </c>
      <c r="U218" s="325">
        <v>0</v>
      </c>
      <c r="V218" s="492">
        <f t="shared" ref="V218:V221" si="500">P218+Q218+R218+S218+T218+U218</f>
        <v>0</v>
      </c>
      <c r="W218" s="325">
        <v>0</v>
      </c>
      <c r="X218" s="325">
        <v>0</v>
      </c>
      <c r="Y218" s="325">
        <v>0</v>
      </c>
      <c r="Z218" s="492">
        <f t="shared" ref="Z218:Z221" si="501">W218+X218+Y218</f>
        <v>0</v>
      </c>
      <c r="AA218" s="492">
        <f t="shared" ref="AA218:AA221" si="502">V218+Z218</f>
        <v>0</v>
      </c>
      <c r="AB218" s="494">
        <f t="shared" ref="AB218:AB221" si="503">ROUND((V218+Z218)*33.8%,0)</f>
        <v>0</v>
      </c>
      <c r="AC218" s="494">
        <f t="shared" ref="AC218:AC221" si="504">ROUND(V218*1%,0)</f>
        <v>0</v>
      </c>
      <c r="AD218" s="492">
        <v>0</v>
      </c>
      <c r="AE218" s="753">
        <f t="shared" ref="AE218:AE221" si="505">AA218+AB218+AC218+AD218</f>
        <v>0</v>
      </c>
      <c r="AF218" s="688">
        <v>0</v>
      </c>
      <c r="AG218" s="326">
        <v>0</v>
      </c>
      <c r="AH218" s="326">
        <v>0</v>
      </c>
      <c r="AI218" s="326">
        <v>0</v>
      </c>
      <c r="AJ218" s="326">
        <v>0</v>
      </c>
      <c r="AK218" s="326">
        <v>0</v>
      </c>
      <c r="AL218" s="609">
        <f t="shared" ref="AL218:AL221" si="506">SUM(AF218:AK218)</f>
        <v>0</v>
      </c>
      <c r="AM218" s="493">
        <f>I218+AE218</f>
        <v>5874375</v>
      </c>
      <c r="AN218" s="492">
        <f>J218+V218</f>
        <v>4357845</v>
      </c>
      <c r="AO218" s="573">
        <f t="shared" ref="AO218:AO221" si="507">K218+Z218</f>
        <v>0</v>
      </c>
      <c r="AP218" s="492">
        <f t="shared" ref="AP218:AQ221" si="508">L218+AB218</f>
        <v>1472952</v>
      </c>
      <c r="AQ218" s="492">
        <f t="shared" si="508"/>
        <v>43578</v>
      </c>
      <c r="AR218" s="492">
        <v>0</v>
      </c>
      <c r="AS218" s="491">
        <f t="shared" ref="AS218:AS221" si="509">O218+AL218</f>
        <v>7.93</v>
      </c>
    </row>
    <row r="219" spans="1:45" s="152" customFormat="1" ht="12.75" customHeight="1" x14ac:dyDescent="0.2">
      <c r="A219" s="140">
        <v>49</v>
      </c>
      <c r="B219" s="141">
        <v>4466</v>
      </c>
      <c r="C219" s="141">
        <v>650039017</v>
      </c>
      <c r="D219" s="141">
        <v>70982074</v>
      </c>
      <c r="E219" s="135" t="s">
        <v>232</v>
      </c>
      <c r="F219" s="141">
        <v>3117</v>
      </c>
      <c r="G219" s="117" t="s">
        <v>280</v>
      </c>
      <c r="H219" s="560" t="s">
        <v>262</v>
      </c>
      <c r="I219" s="580">
        <v>6133936</v>
      </c>
      <c r="J219" s="490">
        <v>4550397</v>
      </c>
      <c r="K219" s="490">
        <v>0</v>
      </c>
      <c r="L219" s="55">
        <v>1538034</v>
      </c>
      <c r="M219" s="55">
        <v>45505</v>
      </c>
      <c r="N219" s="55">
        <v>0</v>
      </c>
      <c r="O219" s="614">
        <v>6.55</v>
      </c>
      <c r="P219" s="440">
        <f t="shared" si="499"/>
        <v>0</v>
      </c>
      <c r="Q219" s="325">
        <v>0</v>
      </c>
      <c r="R219" s="325">
        <v>0</v>
      </c>
      <c r="S219" s="325">
        <v>0</v>
      </c>
      <c r="T219" s="325">
        <v>0</v>
      </c>
      <c r="U219" s="325">
        <v>0</v>
      </c>
      <c r="V219" s="492">
        <f t="shared" si="500"/>
        <v>0</v>
      </c>
      <c r="W219" s="325">
        <v>0</v>
      </c>
      <c r="X219" s="325">
        <v>0</v>
      </c>
      <c r="Y219" s="325">
        <v>0</v>
      </c>
      <c r="Z219" s="492">
        <f t="shared" si="501"/>
        <v>0</v>
      </c>
      <c r="AA219" s="492">
        <f t="shared" si="502"/>
        <v>0</v>
      </c>
      <c r="AB219" s="494">
        <f t="shared" si="503"/>
        <v>0</v>
      </c>
      <c r="AC219" s="494">
        <f t="shared" si="504"/>
        <v>0</v>
      </c>
      <c r="AD219" s="492">
        <v>0</v>
      </c>
      <c r="AE219" s="753">
        <f t="shared" si="505"/>
        <v>0</v>
      </c>
      <c r="AF219" s="688">
        <v>0</v>
      </c>
      <c r="AG219" s="326">
        <v>0</v>
      </c>
      <c r="AH219" s="326">
        <v>0</v>
      </c>
      <c r="AI219" s="326">
        <v>0</v>
      </c>
      <c r="AJ219" s="326">
        <v>0</v>
      </c>
      <c r="AK219" s="326">
        <v>0</v>
      </c>
      <c r="AL219" s="609">
        <f t="shared" si="506"/>
        <v>0</v>
      </c>
      <c r="AM219" s="493">
        <f>I219+AE219</f>
        <v>6133936</v>
      </c>
      <c r="AN219" s="492">
        <f>J219+V219</f>
        <v>4550397</v>
      </c>
      <c r="AO219" s="573">
        <f t="shared" si="507"/>
        <v>0</v>
      </c>
      <c r="AP219" s="492">
        <f t="shared" si="508"/>
        <v>1538034</v>
      </c>
      <c r="AQ219" s="492">
        <f t="shared" si="508"/>
        <v>45505</v>
      </c>
      <c r="AR219" s="492">
        <v>0</v>
      </c>
      <c r="AS219" s="491">
        <f t="shared" si="509"/>
        <v>6.55</v>
      </c>
    </row>
    <row r="220" spans="1:45" s="152" customFormat="1" ht="12.75" customHeight="1" x14ac:dyDescent="0.2">
      <c r="A220" s="140">
        <v>49</v>
      </c>
      <c r="B220" s="141">
        <v>4466</v>
      </c>
      <c r="C220" s="141">
        <v>650039017</v>
      </c>
      <c r="D220" s="141">
        <v>70982074</v>
      </c>
      <c r="E220" s="135" t="s">
        <v>232</v>
      </c>
      <c r="F220" s="141">
        <v>3117</v>
      </c>
      <c r="G220" s="117" t="s">
        <v>278</v>
      </c>
      <c r="H220" s="560" t="s">
        <v>263</v>
      </c>
      <c r="I220" s="580">
        <v>2680320</v>
      </c>
      <c r="J220" s="490">
        <v>1988368</v>
      </c>
      <c r="K220" s="490">
        <v>0</v>
      </c>
      <c r="L220" s="55">
        <v>672068</v>
      </c>
      <c r="M220" s="55">
        <v>19884</v>
      </c>
      <c r="N220" s="55">
        <v>0</v>
      </c>
      <c r="O220" s="614">
        <v>5.18</v>
      </c>
      <c r="P220" s="440">
        <f t="shared" si="499"/>
        <v>0</v>
      </c>
      <c r="Q220" s="325">
        <v>22075</v>
      </c>
      <c r="R220" s="325">
        <v>0</v>
      </c>
      <c r="S220" s="325">
        <v>0</v>
      </c>
      <c r="T220" s="325">
        <v>0</v>
      </c>
      <c r="U220" s="325">
        <v>0</v>
      </c>
      <c r="V220" s="492">
        <f t="shared" si="500"/>
        <v>22075</v>
      </c>
      <c r="W220" s="325">
        <v>0</v>
      </c>
      <c r="X220" s="325">
        <v>0</v>
      </c>
      <c r="Y220" s="325">
        <v>0</v>
      </c>
      <c r="Z220" s="492">
        <f t="shared" si="501"/>
        <v>0</v>
      </c>
      <c r="AA220" s="492">
        <f t="shared" si="502"/>
        <v>22075</v>
      </c>
      <c r="AB220" s="494">
        <f t="shared" si="503"/>
        <v>7461</v>
      </c>
      <c r="AC220" s="494">
        <f t="shared" si="504"/>
        <v>221</v>
      </c>
      <c r="AD220" s="492">
        <v>0</v>
      </c>
      <c r="AE220" s="753">
        <f t="shared" si="505"/>
        <v>29757</v>
      </c>
      <c r="AF220" s="688">
        <v>0</v>
      </c>
      <c r="AG220" s="326">
        <v>0.04</v>
      </c>
      <c r="AH220" s="326">
        <v>0</v>
      </c>
      <c r="AI220" s="326">
        <v>0</v>
      </c>
      <c r="AJ220" s="326">
        <v>0</v>
      </c>
      <c r="AK220" s="326">
        <v>0</v>
      </c>
      <c r="AL220" s="609">
        <f t="shared" si="506"/>
        <v>0.04</v>
      </c>
      <c r="AM220" s="493">
        <f>I220+AE220</f>
        <v>2710077</v>
      </c>
      <c r="AN220" s="492">
        <f>J220+V220</f>
        <v>2010443</v>
      </c>
      <c r="AO220" s="573">
        <f t="shared" si="507"/>
        <v>0</v>
      </c>
      <c r="AP220" s="492">
        <f t="shared" si="508"/>
        <v>679529</v>
      </c>
      <c r="AQ220" s="492">
        <f t="shared" si="508"/>
        <v>20105</v>
      </c>
      <c r="AR220" s="492">
        <v>0</v>
      </c>
      <c r="AS220" s="491">
        <f t="shared" si="509"/>
        <v>5.22</v>
      </c>
    </row>
    <row r="221" spans="1:45" s="152" customFormat="1" x14ac:dyDescent="0.2">
      <c r="A221" s="140">
        <v>49</v>
      </c>
      <c r="B221" s="141">
        <v>4466</v>
      </c>
      <c r="C221" s="141">
        <v>650039017</v>
      </c>
      <c r="D221" s="141">
        <v>70982074</v>
      </c>
      <c r="E221" s="139" t="s">
        <v>232</v>
      </c>
      <c r="F221" s="141">
        <v>3143</v>
      </c>
      <c r="G221" s="117" t="s">
        <v>794</v>
      </c>
      <c r="H221" s="157" t="s">
        <v>262</v>
      </c>
      <c r="I221" s="580">
        <v>982239</v>
      </c>
      <c r="J221" s="490">
        <v>719731</v>
      </c>
      <c r="K221" s="490">
        <v>9000</v>
      </c>
      <c r="L221" s="55">
        <v>246311</v>
      </c>
      <c r="M221" s="55">
        <v>7197</v>
      </c>
      <c r="N221" s="55">
        <v>0</v>
      </c>
      <c r="O221" s="614">
        <v>1.4</v>
      </c>
      <c r="P221" s="440">
        <f t="shared" si="499"/>
        <v>-6000</v>
      </c>
      <c r="Q221" s="325">
        <v>0</v>
      </c>
      <c r="R221" s="325">
        <v>0</v>
      </c>
      <c r="S221" s="325">
        <v>0</v>
      </c>
      <c r="T221" s="325">
        <v>0</v>
      </c>
      <c r="U221" s="325">
        <v>0</v>
      </c>
      <c r="V221" s="492">
        <f t="shared" si="500"/>
        <v>-6000</v>
      </c>
      <c r="W221" s="325">
        <v>6000</v>
      </c>
      <c r="X221" s="325">
        <v>0</v>
      </c>
      <c r="Y221" s="325">
        <v>0</v>
      </c>
      <c r="Z221" s="492">
        <f t="shared" si="501"/>
        <v>6000</v>
      </c>
      <c r="AA221" s="492">
        <f t="shared" si="502"/>
        <v>0</v>
      </c>
      <c r="AB221" s="494">
        <f t="shared" si="503"/>
        <v>0</v>
      </c>
      <c r="AC221" s="494">
        <f t="shared" si="504"/>
        <v>-60</v>
      </c>
      <c r="AD221" s="492">
        <v>0</v>
      </c>
      <c r="AE221" s="753">
        <f t="shared" si="505"/>
        <v>-60</v>
      </c>
      <c r="AF221" s="688">
        <v>0</v>
      </c>
      <c r="AG221" s="326">
        <v>0</v>
      </c>
      <c r="AH221" s="326">
        <v>0</v>
      </c>
      <c r="AI221" s="326">
        <v>0</v>
      </c>
      <c r="AJ221" s="326">
        <v>0</v>
      </c>
      <c r="AK221" s="326">
        <v>0</v>
      </c>
      <c r="AL221" s="609">
        <f t="shared" si="506"/>
        <v>0</v>
      </c>
      <c r="AM221" s="493">
        <f>I221+AE221</f>
        <v>982179</v>
      </c>
      <c r="AN221" s="492">
        <f>J221+V221</f>
        <v>713731</v>
      </c>
      <c r="AO221" s="573">
        <f t="shared" si="507"/>
        <v>15000</v>
      </c>
      <c r="AP221" s="492">
        <f t="shared" si="508"/>
        <v>246311</v>
      </c>
      <c r="AQ221" s="492">
        <f t="shared" si="508"/>
        <v>7137</v>
      </c>
      <c r="AR221" s="492">
        <v>0</v>
      </c>
      <c r="AS221" s="491">
        <f t="shared" si="509"/>
        <v>1.4</v>
      </c>
    </row>
    <row r="222" spans="1:45" s="152" customFormat="1" x14ac:dyDescent="0.2">
      <c r="A222" s="107">
        <v>49</v>
      </c>
      <c r="B222" s="15">
        <v>4466</v>
      </c>
      <c r="C222" s="15">
        <v>650039017</v>
      </c>
      <c r="D222" s="15">
        <v>70982074</v>
      </c>
      <c r="E222" s="116" t="s">
        <v>233</v>
      </c>
      <c r="F222" s="15"/>
      <c r="G222" s="106"/>
      <c r="H222" s="555"/>
      <c r="I222" s="758">
        <v>15670870</v>
      </c>
      <c r="J222" s="343">
        <v>11616341</v>
      </c>
      <c r="K222" s="343">
        <v>9000</v>
      </c>
      <c r="L222" s="343">
        <v>3929365</v>
      </c>
      <c r="M222" s="343">
        <v>116164</v>
      </c>
      <c r="N222" s="343">
        <v>0</v>
      </c>
      <c r="O222" s="35">
        <v>21.06</v>
      </c>
      <c r="P222" s="346">
        <f t="shared" ref="P222:AS222" si="510">SUM(P218:P221)</f>
        <v>-6000</v>
      </c>
      <c r="Q222" s="343">
        <f t="shared" si="510"/>
        <v>22075</v>
      </c>
      <c r="R222" s="343">
        <f t="shared" si="510"/>
        <v>0</v>
      </c>
      <c r="S222" s="343">
        <f t="shared" si="510"/>
        <v>0</v>
      </c>
      <c r="T222" s="343">
        <f t="shared" si="510"/>
        <v>0</v>
      </c>
      <c r="U222" s="343">
        <f t="shared" si="510"/>
        <v>0</v>
      </c>
      <c r="V222" s="343">
        <f t="shared" si="510"/>
        <v>16075</v>
      </c>
      <c r="W222" s="343">
        <f t="shared" si="510"/>
        <v>6000</v>
      </c>
      <c r="X222" s="343">
        <f t="shared" si="510"/>
        <v>0</v>
      </c>
      <c r="Y222" s="343">
        <f t="shared" si="510"/>
        <v>0</v>
      </c>
      <c r="Z222" s="343">
        <f t="shared" si="510"/>
        <v>6000</v>
      </c>
      <c r="AA222" s="343">
        <f t="shared" si="510"/>
        <v>22075</v>
      </c>
      <c r="AB222" s="343">
        <f t="shared" si="510"/>
        <v>7461</v>
      </c>
      <c r="AC222" s="343">
        <f t="shared" si="510"/>
        <v>161</v>
      </c>
      <c r="AD222" s="343">
        <f t="shared" si="510"/>
        <v>0</v>
      </c>
      <c r="AE222" s="763">
        <f t="shared" si="510"/>
        <v>29697</v>
      </c>
      <c r="AF222" s="767">
        <f t="shared" si="510"/>
        <v>0</v>
      </c>
      <c r="AG222" s="344">
        <f t="shared" si="510"/>
        <v>0.04</v>
      </c>
      <c r="AH222" s="344">
        <f t="shared" si="510"/>
        <v>0</v>
      </c>
      <c r="AI222" s="344">
        <f t="shared" si="510"/>
        <v>0</v>
      </c>
      <c r="AJ222" s="344">
        <f t="shared" si="510"/>
        <v>0</v>
      </c>
      <c r="AK222" s="344">
        <f t="shared" si="510"/>
        <v>0</v>
      </c>
      <c r="AL222" s="35">
        <f t="shared" si="510"/>
        <v>0.04</v>
      </c>
      <c r="AM222" s="346">
        <f t="shared" si="510"/>
        <v>15700567</v>
      </c>
      <c r="AN222" s="343">
        <f t="shared" si="510"/>
        <v>11632416</v>
      </c>
      <c r="AO222" s="343">
        <f t="shared" si="510"/>
        <v>15000</v>
      </c>
      <c r="AP222" s="343">
        <f t="shared" si="510"/>
        <v>3936826</v>
      </c>
      <c r="AQ222" s="343">
        <f t="shared" si="510"/>
        <v>116325</v>
      </c>
      <c r="AR222" s="343">
        <f t="shared" si="510"/>
        <v>0</v>
      </c>
      <c r="AS222" s="344">
        <f t="shared" si="510"/>
        <v>21.099999999999998</v>
      </c>
    </row>
    <row r="223" spans="1:45" s="152" customFormat="1" ht="12.75" customHeight="1" x14ac:dyDescent="0.2">
      <c r="A223" s="140">
        <v>50</v>
      </c>
      <c r="B223" s="141">
        <v>4470</v>
      </c>
      <c r="C223" s="141">
        <v>600075109</v>
      </c>
      <c r="D223" s="141">
        <v>70982112</v>
      </c>
      <c r="E223" s="139" t="s">
        <v>234</v>
      </c>
      <c r="F223" s="141">
        <v>3231</v>
      </c>
      <c r="G223" s="117" t="s">
        <v>281</v>
      </c>
      <c r="H223" s="560" t="s">
        <v>262</v>
      </c>
      <c r="I223" s="580">
        <v>10079142</v>
      </c>
      <c r="J223" s="490">
        <v>7477108</v>
      </c>
      <c r="K223" s="490">
        <v>0</v>
      </c>
      <c r="L223" s="55">
        <v>2527263</v>
      </c>
      <c r="M223" s="55">
        <v>74771</v>
      </c>
      <c r="N223" s="55">
        <v>0</v>
      </c>
      <c r="O223" s="614">
        <v>11.23</v>
      </c>
      <c r="P223" s="445">
        <f>W223*-1</f>
        <v>0</v>
      </c>
      <c r="Q223" s="325">
        <v>0</v>
      </c>
      <c r="R223" s="325">
        <v>0</v>
      </c>
      <c r="S223" s="325">
        <v>0</v>
      </c>
      <c r="T223" s="325">
        <v>0</v>
      </c>
      <c r="U223" s="325">
        <v>0</v>
      </c>
      <c r="V223" s="492">
        <f>P223+Q223+R223+S223+T223+U223</f>
        <v>0</v>
      </c>
      <c r="W223" s="325">
        <v>0</v>
      </c>
      <c r="X223" s="325">
        <v>0</v>
      </c>
      <c r="Y223" s="325">
        <v>0</v>
      </c>
      <c r="Z223" s="492">
        <f>W223+X223+Y223</f>
        <v>0</v>
      </c>
      <c r="AA223" s="492">
        <f>V223+Z223</f>
        <v>0</v>
      </c>
      <c r="AB223" s="494">
        <f>ROUND((V223+Z223)*33.8%,0)</f>
        <v>0</v>
      </c>
      <c r="AC223" s="494">
        <f>ROUND(V223*1%,0)</f>
        <v>0</v>
      </c>
      <c r="AD223" s="492">
        <v>0</v>
      </c>
      <c r="AE223" s="753">
        <f>AA223+AB223+AC223+AD223</f>
        <v>0</v>
      </c>
      <c r="AF223" s="688">
        <v>0</v>
      </c>
      <c r="AG223" s="326">
        <v>0</v>
      </c>
      <c r="AH223" s="326">
        <v>0</v>
      </c>
      <c r="AI223" s="326">
        <v>0</v>
      </c>
      <c r="AJ223" s="326">
        <v>0</v>
      </c>
      <c r="AK223" s="326">
        <v>0</v>
      </c>
      <c r="AL223" s="609">
        <f>SUM(AF223:AK223)</f>
        <v>0</v>
      </c>
      <c r="AM223" s="493">
        <f>I223+AE223</f>
        <v>10079142</v>
      </c>
      <c r="AN223" s="492">
        <f>J223+V223</f>
        <v>7477108</v>
      </c>
      <c r="AO223" s="573">
        <f>K223+Z223</f>
        <v>0</v>
      </c>
      <c r="AP223" s="492">
        <f>L223+AB223</f>
        <v>2527263</v>
      </c>
      <c r="AQ223" s="492">
        <f>M223+AC223</f>
        <v>74771</v>
      </c>
      <c r="AR223" s="492">
        <v>0</v>
      </c>
      <c r="AS223" s="491">
        <f>O223+AL223</f>
        <v>11.23</v>
      </c>
    </row>
    <row r="224" spans="1:45" s="152" customFormat="1" ht="13.5" thickBot="1" x14ac:dyDescent="0.25">
      <c r="A224" s="111">
        <v>50</v>
      </c>
      <c r="B224" s="30">
        <v>4470</v>
      </c>
      <c r="C224" s="30">
        <v>600075109</v>
      </c>
      <c r="D224" s="30">
        <v>70982112</v>
      </c>
      <c r="E224" s="165" t="s">
        <v>235</v>
      </c>
      <c r="F224" s="30"/>
      <c r="G224" s="112"/>
      <c r="H224" s="556"/>
      <c r="I224" s="771">
        <v>10079142</v>
      </c>
      <c r="J224" s="449">
        <v>7477108</v>
      </c>
      <c r="K224" s="449">
        <v>0</v>
      </c>
      <c r="L224" s="449">
        <v>2527263</v>
      </c>
      <c r="M224" s="449">
        <v>74771</v>
      </c>
      <c r="N224" s="449">
        <v>0</v>
      </c>
      <c r="O224" s="772">
        <v>11.23</v>
      </c>
      <c r="P224" s="448">
        <f t="shared" ref="P224:AS224" si="511">SUM(P223)</f>
        <v>0</v>
      </c>
      <c r="Q224" s="449">
        <f t="shared" si="511"/>
        <v>0</v>
      </c>
      <c r="R224" s="449">
        <f t="shared" si="511"/>
        <v>0</v>
      </c>
      <c r="S224" s="449">
        <f t="shared" si="511"/>
        <v>0</v>
      </c>
      <c r="T224" s="449">
        <f t="shared" si="511"/>
        <v>0</v>
      </c>
      <c r="U224" s="449">
        <f t="shared" si="511"/>
        <v>0</v>
      </c>
      <c r="V224" s="449">
        <f t="shared" si="511"/>
        <v>0</v>
      </c>
      <c r="W224" s="449">
        <f t="shared" si="511"/>
        <v>0</v>
      </c>
      <c r="X224" s="449">
        <f t="shared" si="511"/>
        <v>0</v>
      </c>
      <c r="Y224" s="449">
        <f t="shared" si="511"/>
        <v>0</v>
      </c>
      <c r="Z224" s="449">
        <f t="shared" si="511"/>
        <v>0</v>
      </c>
      <c r="AA224" s="449">
        <f t="shared" si="511"/>
        <v>0</v>
      </c>
      <c r="AB224" s="449">
        <f t="shared" si="511"/>
        <v>0</v>
      </c>
      <c r="AC224" s="449">
        <f t="shared" si="511"/>
        <v>0</v>
      </c>
      <c r="AD224" s="449">
        <f t="shared" si="511"/>
        <v>0</v>
      </c>
      <c r="AE224" s="774">
        <f t="shared" si="511"/>
        <v>0</v>
      </c>
      <c r="AF224" s="776">
        <f t="shared" si="511"/>
        <v>0</v>
      </c>
      <c r="AG224" s="457">
        <f t="shared" si="511"/>
        <v>0</v>
      </c>
      <c r="AH224" s="457">
        <f t="shared" si="511"/>
        <v>0</v>
      </c>
      <c r="AI224" s="457">
        <f t="shared" si="511"/>
        <v>0</v>
      </c>
      <c r="AJ224" s="457">
        <f t="shared" si="511"/>
        <v>0</v>
      </c>
      <c r="AK224" s="457">
        <f t="shared" si="511"/>
        <v>0</v>
      </c>
      <c r="AL224" s="458">
        <f t="shared" si="511"/>
        <v>0</v>
      </c>
      <c r="AM224" s="448">
        <f t="shared" si="511"/>
        <v>10079142</v>
      </c>
      <c r="AN224" s="449">
        <f t="shared" si="511"/>
        <v>7477108</v>
      </c>
      <c r="AO224" s="449">
        <f t="shared" si="511"/>
        <v>0</v>
      </c>
      <c r="AP224" s="449">
        <f t="shared" si="511"/>
        <v>2527263</v>
      </c>
      <c r="AQ224" s="449">
        <f t="shared" si="511"/>
        <v>74771</v>
      </c>
      <c r="AR224" s="449">
        <f t="shared" si="511"/>
        <v>0</v>
      </c>
      <c r="AS224" s="450">
        <f t="shared" si="511"/>
        <v>11.23</v>
      </c>
    </row>
    <row r="225" spans="1:45" s="152" customFormat="1" ht="13.5" thickBot="1" x14ac:dyDescent="0.25">
      <c r="A225" s="113"/>
      <c r="B225" s="27"/>
      <c r="C225" s="27"/>
      <c r="D225" s="27"/>
      <c r="E225" s="57" t="s">
        <v>730</v>
      </c>
      <c r="F225" s="27"/>
      <c r="G225" s="114"/>
      <c r="H225" s="593"/>
      <c r="I225" s="451">
        <f>I13+I16+I20+I24+I27+I30+I33+I36+I41+I47+I53+I58+I63+I68+I72+I77+I87+I89+I92+I97+I100+I104+I109+I114+I116+I119+I124+I129+I134+I139+I142+I146+I151+I154+I158+I166+I168+I171+I176+I181+I184+I189+I192+I197+I202+I207+I212+I217+I222+I224</f>
        <v>975651717</v>
      </c>
      <c r="J225" s="591">
        <f t="shared" ref="J225:AE225" si="512">J13+J16+J20+J24+J27+J30+J33+J36+J41+J47+J53+J58+J63+J68+J72+J77+J87+J89+J92+J97+J100+J104+J109+J114+J116+J119+J124+J129+J134+J139+J142+J146+J151+J154+J158+J166+J168+J171+J176+J181+J184+J189+J192+J197+J202+J207+J212+J217+J222+J224</f>
        <v>722053341</v>
      </c>
      <c r="K225" s="591">
        <f t="shared" si="512"/>
        <v>1736784</v>
      </c>
      <c r="L225" s="591">
        <f t="shared" si="512"/>
        <v>244641060</v>
      </c>
      <c r="M225" s="591">
        <f t="shared" si="512"/>
        <v>7220532</v>
      </c>
      <c r="N225" s="591">
        <f t="shared" si="512"/>
        <v>0</v>
      </c>
      <c r="O225" s="592">
        <f t="shared" si="512"/>
        <v>1155.3200000000004</v>
      </c>
      <c r="P225" s="773">
        <f t="shared" si="512"/>
        <v>-935456</v>
      </c>
      <c r="Q225" s="591">
        <f t="shared" si="512"/>
        <v>600492</v>
      </c>
      <c r="R225" s="591">
        <f t="shared" si="512"/>
        <v>0</v>
      </c>
      <c r="S225" s="591">
        <f t="shared" si="512"/>
        <v>0</v>
      </c>
      <c r="T225" s="591">
        <f t="shared" si="512"/>
        <v>0</v>
      </c>
      <c r="U225" s="591">
        <f t="shared" si="512"/>
        <v>0</v>
      </c>
      <c r="V225" s="591">
        <f t="shared" si="512"/>
        <v>-334964</v>
      </c>
      <c r="W225" s="591">
        <f t="shared" si="512"/>
        <v>935456</v>
      </c>
      <c r="X225" s="591">
        <f t="shared" si="512"/>
        <v>0</v>
      </c>
      <c r="Y225" s="591">
        <f t="shared" si="512"/>
        <v>0</v>
      </c>
      <c r="Z225" s="591">
        <f t="shared" si="512"/>
        <v>935456</v>
      </c>
      <c r="AA225" s="591">
        <f t="shared" si="512"/>
        <v>600492</v>
      </c>
      <c r="AB225" s="591">
        <f t="shared" si="512"/>
        <v>202967</v>
      </c>
      <c r="AC225" s="591">
        <f t="shared" si="512"/>
        <v>-3349</v>
      </c>
      <c r="AD225" s="591">
        <f t="shared" si="512"/>
        <v>0</v>
      </c>
      <c r="AE225" s="775">
        <f t="shared" si="512"/>
        <v>800110</v>
      </c>
      <c r="AF225" s="777">
        <f>AF13+AF16+AF20+AF24+AF27+AF30+AF33+AF36+AF41+AF47+AF53+AF58+AF63+AF68+AF72+AF77+AF87+AF89+AF92+AF97+AF100+AF104+AF109+AF114+AF116+AF119+AF124+AF129+AF134+AF139+AF142+AF146+AF151+AF154+AF158+AF166++AF168+AF171+AF176+AF181+AF184+AF189+AF192+AF197+AF202+AF207+AF212+AF217+AF222+AF224</f>
        <v>-1.3400000000000005</v>
      </c>
      <c r="AG225" s="456">
        <f t="shared" ref="AG225:AL225" si="513">AG13+AG16+AG20+AG24+AG27+AG30+AG33+AG36+AG41+AG47+AG53+AG58+AG63+AG68+AG72+AG77+AG87+AG89+AG92+AG97+AG100+AG104+AG109+AG114+AG116+AG119+AG124+AG129+AG134+AG139+AG142+AG146+AG151+AG154+AG158+AG166++AG168+AG171+AG176+AG181+AG184+AG189+AG192+AG197+AG202+AG207+AG212+AG217+AG222+AG224</f>
        <v>1.4900000000000004</v>
      </c>
      <c r="AH225" s="456">
        <f t="shared" si="513"/>
        <v>0</v>
      </c>
      <c r="AI225" s="456">
        <f t="shared" si="513"/>
        <v>0</v>
      </c>
      <c r="AJ225" s="456">
        <f t="shared" si="513"/>
        <v>0</v>
      </c>
      <c r="AK225" s="456">
        <f t="shared" si="513"/>
        <v>0</v>
      </c>
      <c r="AL225" s="778">
        <f t="shared" si="513"/>
        <v>0.14999999999999955</v>
      </c>
      <c r="AM225" s="773">
        <f>AM13+AM16+AM20+AM24+AM27+AM30+AM33+AM36+AM41+AM47+AM53+AM58+AM63+AM68+AM72+AM77+AM87+AM89+AM92+AM97+AM100+AM104+AM109+AM114+AM116+AM119+AM124+AM129+AM134+AM139+AM142+AM146+AM151+AM154+AM158+AM166++AM168+AM171+AM176+AM181+AM184+AM189+AM192+AM197+AM202+AM207+AM212+AM217+AM222+AM224</f>
        <v>976451827</v>
      </c>
      <c r="AN225" s="591">
        <f t="shared" ref="AN225:AS225" si="514">AN13+AN16+AN20+AN24+AN27+AN30+AN33+AN36+AN41+AN47+AN53+AN58+AN63+AN68+AN72+AN77+AN87+AN89+AN92+AN97+AN100+AN104+AN109+AN114+AN116+AN119+AN124+AN129+AN134+AN139+AN142+AN146+AN151+AN154+AN158+AN166++AN168+AN171+AN176+AN181+AN184+AN189+AN192+AN197+AN202+AN207+AN212+AN217+AN222+AN224</f>
        <v>721718377</v>
      </c>
      <c r="AO225" s="591">
        <f t="shared" si="514"/>
        <v>2672240</v>
      </c>
      <c r="AP225" s="591">
        <f t="shared" si="514"/>
        <v>244844027</v>
      </c>
      <c r="AQ225" s="591">
        <f t="shared" si="514"/>
        <v>7217183</v>
      </c>
      <c r="AR225" s="591">
        <f t="shared" si="514"/>
        <v>0</v>
      </c>
      <c r="AS225" s="592">
        <f t="shared" si="514"/>
        <v>1155.4700000000005</v>
      </c>
    </row>
    <row r="226" spans="1:45" s="152" customFormat="1" ht="12.75" customHeight="1" x14ac:dyDescent="0.2">
      <c r="D226" s="8"/>
      <c r="E226" s="4"/>
      <c r="F226" s="8"/>
      <c r="G226" s="17"/>
      <c r="H226" s="4"/>
      <c r="I226" s="328">
        <f>SUM(J225:N225)</f>
        <v>975651717</v>
      </c>
      <c r="J226" s="328"/>
      <c r="K226" s="328"/>
      <c r="L226" s="328"/>
      <c r="M226" s="328"/>
      <c r="N226" s="328"/>
      <c r="O226" s="709"/>
      <c r="P226" s="328">
        <f>W225</f>
        <v>935456</v>
      </c>
      <c r="Q226" s="329"/>
      <c r="R226" s="329"/>
      <c r="S226" s="329"/>
      <c r="T226" s="328"/>
      <c r="U226" s="329"/>
      <c r="V226" s="330">
        <f>SUM(P225:U225)</f>
        <v>-334964</v>
      </c>
      <c r="W226" s="330">
        <f>P225</f>
        <v>-935456</v>
      </c>
      <c r="X226" s="331"/>
      <c r="Y226" s="331"/>
      <c r="Z226" s="330">
        <f>SUM(W225:Y225)</f>
        <v>935456</v>
      </c>
      <c r="AA226" s="330">
        <f>V225+Z225</f>
        <v>600492</v>
      </c>
      <c r="AB226" s="332"/>
      <c r="AC226" s="332"/>
      <c r="AD226" s="330"/>
      <c r="AE226" s="330">
        <f>SUM(AA225:AD225)</f>
        <v>800110</v>
      </c>
      <c r="AF226" s="333"/>
      <c r="AG226" s="333"/>
      <c r="AH226" s="333"/>
      <c r="AI226" s="333"/>
      <c r="AJ226" s="381"/>
      <c r="AK226" s="333"/>
      <c r="AL226" s="381">
        <f>SUM(AF225:AK225)</f>
        <v>0.14999999999999991</v>
      </c>
      <c r="AM226" s="328">
        <f>SUM(AN225:AR225)</f>
        <v>976451827</v>
      </c>
      <c r="AN226" s="328"/>
      <c r="AO226" s="58"/>
      <c r="AP226" s="330"/>
      <c r="AQ226" s="330"/>
      <c r="AR226" s="330"/>
      <c r="AS226" s="329"/>
    </row>
    <row r="227" spans="1:45" ht="13.5" thickBot="1" x14ac:dyDescent="0.25">
      <c r="D227" s="8"/>
      <c r="E227" s="4"/>
      <c r="F227" s="166"/>
      <c r="G227" s="17"/>
      <c r="H227" s="4"/>
      <c r="I227" s="328">
        <f>SUM(J228:N228)</f>
        <v>975651717</v>
      </c>
      <c r="J227" s="328"/>
      <c r="K227" s="328"/>
      <c r="L227" s="328"/>
      <c r="M227" s="328"/>
      <c r="N227" s="328"/>
      <c r="O227" s="709"/>
      <c r="P227" s="328">
        <f>W228</f>
        <v>935456</v>
      </c>
      <c r="Q227" s="329"/>
      <c r="R227" s="329"/>
      <c r="S227" s="329"/>
      <c r="T227" s="328"/>
      <c r="U227" s="329"/>
      <c r="V227" s="330">
        <f>SUM(P228:U228)</f>
        <v>-334964</v>
      </c>
      <c r="W227" s="330"/>
      <c r="X227" s="331"/>
      <c r="Y227" s="331"/>
      <c r="Z227" s="330">
        <f>SUM(W228:Y228)</f>
        <v>935456</v>
      </c>
      <c r="AA227" s="330">
        <f>V228+Z228</f>
        <v>600492</v>
      </c>
      <c r="AB227" s="332"/>
      <c r="AC227" s="332"/>
      <c r="AD227" s="330"/>
      <c r="AE227" s="330">
        <f>SUM(AA228:AD228)</f>
        <v>800110</v>
      </c>
      <c r="AF227" s="333"/>
      <c r="AG227" s="333"/>
      <c r="AH227" s="333"/>
      <c r="AI227" s="333"/>
      <c r="AJ227" s="381"/>
      <c r="AK227" s="333"/>
      <c r="AL227" s="381">
        <f>SUM(AF228:AK228)</f>
        <v>0.15000000000000058</v>
      </c>
      <c r="AM227" s="328">
        <f>AN228+AO228+AP228+AQ228</f>
        <v>976451827</v>
      </c>
      <c r="AN227" s="328"/>
      <c r="AO227" s="58"/>
      <c r="AP227" s="48"/>
      <c r="AQ227" s="48"/>
      <c r="AR227" s="48"/>
      <c r="AS227" s="329"/>
    </row>
    <row r="228" spans="1:45" ht="13.5" thickBot="1" x14ac:dyDescent="0.25">
      <c r="D228" s="8"/>
      <c r="E228" s="4"/>
      <c r="F228" s="8"/>
      <c r="G228" s="17"/>
      <c r="H228" s="338" t="s">
        <v>0</v>
      </c>
      <c r="I228" s="96">
        <f t="shared" ref="I228:AS228" si="515">SUM(I229:I238)</f>
        <v>975651717</v>
      </c>
      <c r="J228" s="31">
        <f t="shared" si="515"/>
        <v>722053341</v>
      </c>
      <c r="K228" s="31">
        <f t="shared" si="515"/>
        <v>1736784</v>
      </c>
      <c r="L228" s="31">
        <f t="shared" si="515"/>
        <v>244641060</v>
      </c>
      <c r="M228" s="31">
        <f t="shared" si="515"/>
        <v>7220532</v>
      </c>
      <c r="N228" s="31">
        <f t="shared" si="515"/>
        <v>0</v>
      </c>
      <c r="O228" s="629">
        <f t="shared" si="515"/>
        <v>1155.32</v>
      </c>
      <c r="P228" s="101">
        <f t="shared" si="515"/>
        <v>-935456</v>
      </c>
      <c r="Q228" s="31">
        <f t="shared" si="515"/>
        <v>600492</v>
      </c>
      <c r="R228" s="31">
        <f t="shared" si="515"/>
        <v>0</v>
      </c>
      <c r="S228" s="31">
        <f t="shared" si="515"/>
        <v>0</v>
      </c>
      <c r="T228" s="31">
        <f t="shared" si="515"/>
        <v>0</v>
      </c>
      <c r="U228" s="31">
        <f t="shared" si="515"/>
        <v>0</v>
      </c>
      <c r="V228" s="31">
        <f t="shared" si="515"/>
        <v>-334964</v>
      </c>
      <c r="W228" s="31">
        <f t="shared" si="515"/>
        <v>935456</v>
      </c>
      <c r="X228" s="31">
        <f t="shared" si="515"/>
        <v>0</v>
      </c>
      <c r="Y228" s="31">
        <f t="shared" si="515"/>
        <v>0</v>
      </c>
      <c r="Z228" s="31">
        <f t="shared" si="515"/>
        <v>935456</v>
      </c>
      <c r="AA228" s="31">
        <f t="shared" si="515"/>
        <v>600492</v>
      </c>
      <c r="AB228" s="31">
        <f t="shared" si="515"/>
        <v>202967</v>
      </c>
      <c r="AC228" s="31">
        <f t="shared" si="515"/>
        <v>-3349</v>
      </c>
      <c r="AD228" s="31">
        <f t="shared" si="515"/>
        <v>0</v>
      </c>
      <c r="AE228" s="624">
        <f t="shared" si="515"/>
        <v>800110</v>
      </c>
      <c r="AF228" s="628">
        <f t="shared" si="515"/>
        <v>-1.3399999999999999</v>
      </c>
      <c r="AG228" s="32">
        <f t="shared" si="515"/>
        <v>1.4900000000000004</v>
      </c>
      <c r="AH228" s="32">
        <f t="shared" si="515"/>
        <v>0</v>
      </c>
      <c r="AI228" s="32">
        <f t="shared" si="515"/>
        <v>0</v>
      </c>
      <c r="AJ228" s="32">
        <f t="shared" si="515"/>
        <v>0</v>
      </c>
      <c r="AK228" s="32">
        <f t="shared" si="515"/>
        <v>0</v>
      </c>
      <c r="AL228" s="629">
        <f t="shared" si="515"/>
        <v>0.1499999999999998</v>
      </c>
      <c r="AM228" s="96">
        <f t="shared" si="515"/>
        <v>976451827</v>
      </c>
      <c r="AN228" s="31">
        <f t="shared" si="515"/>
        <v>721718377</v>
      </c>
      <c r="AO228" s="31">
        <f t="shared" si="515"/>
        <v>2672240</v>
      </c>
      <c r="AP228" s="31">
        <f t="shared" si="515"/>
        <v>244844027</v>
      </c>
      <c r="AQ228" s="31">
        <f t="shared" si="515"/>
        <v>7217183</v>
      </c>
      <c r="AR228" s="31">
        <f t="shared" si="515"/>
        <v>0</v>
      </c>
      <c r="AS228" s="32">
        <f t="shared" si="515"/>
        <v>1155.47</v>
      </c>
    </row>
    <row r="229" spans="1:45" x14ac:dyDescent="0.2">
      <c r="D229" s="8"/>
      <c r="E229" s="4"/>
      <c r="F229" s="8"/>
      <c r="G229" s="17"/>
      <c r="H229" s="339">
        <v>3111</v>
      </c>
      <c r="I229" s="370">
        <f t="shared" ref="I229:AS229" si="516">SUMIF($F$12:$F$383,"=3111",I$12:I$383)</f>
        <v>211219920</v>
      </c>
      <c r="J229" s="371">
        <f t="shared" si="516"/>
        <v>156524583</v>
      </c>
      <c r="K229" s="371">
        <f t="shared" si="516"/>
        <v>168000</v>
      </c>
      <c r="L229" s="371">
        <f t="shared" si="516"/>
        <v>52962091</v>
      </c>
      <c r="M229" s="371">
        <f t="shared" si="516"/>
        <v>1565246</v>
      </c>
      <c r="N229" s="371">
        <f t="shared" si="516"/>
        <v>0</v>
      </c>
      <c r="O229" s="631">
        <f t="shared" si="516"/>
        <v>272.54000000000002</v>
      </c>
      <c r="P229" s="372">
        <f t="shared" si="516"/>
        <v>-112000</v>
      </c>
      <c r="Q229" s="371">
        <f t="shared" si="516"/>
        <v>0</v>
      </c>
      <c r="R229" s="371">
        <f t="shared" si="516"/>
        <v>0</v>
      </c>
      <c r="S229" s="371">
        <f t="shared" si="516"/>
        <v>0</v>
      </c>
      <c r="T229" s="371">
        <f t="shared" si="516"/>
        <v>0</v>
      </c>
      <c r="U229" s="371">
        <f t="shared" si="516"/>
        <v>0</v>
      </c>
      <c r="V229" s="371">
        <f t="shared" si="516"/>
        <v>-112000</v>
      </c>
      <c r="W229" s="371">
        <f t="shared" si="516"/>
        <v>112000</v>
      </c>
      <c r="X229" s="371">
        <f t="shared" si="516"/>
        <v>0</v>
      </c>
      <c r="Y229" s="371">
        <f t="shared" si="516"/>
        <v>0</v>
      </c>
      <c r="Z229" s="371">
        <f t="shared" si="516"/>
        <v>112000</v>
      </c>
      <c r="AA229" s="371">
        <f t="shared" si="516"/>
        <v>0</v>
      </c>
      <c r="AB229" s="371">
        <f t="shared" si="516"/>
        <v>0</v>
      </c>
      <c r="AC229" s="371">
        <f t="shared" si="516"/>
        <v>-1120</v>
      </c>
      <c r="AD229" s="371">
        <f t="shared" si="516"/>
        <v>0</v>
      </c>
      <c r="AE229" s="625">
        <f t="shared" si="516"/>
        <v>-1120</v>
      </c>
      <c r="AF229" s="630">
        <f t="shared" si="516"/>
        <v>-0.08</v>
      </c>
      <c r="AG229" s="373">
        <f t="shared" si="516"/>
        <v>0</v>
      </c>
      <c r="AH229" s="373">
        <f t="shared" si="516"/>
        <v>0</v>
      </c>
      <c r="AI229" s="373">
        <f t="shared" si="516"/>
        <v>0</v>
      </c>
      <c r="AJ229" s="373">
        <f t="shared" si="516"/>
        <v>0</v>
      </c>
      <c r="AK229" s="373">
        <f t="shared" si="516"/>
        <v>0</v>
      </c>
      <c r="AL229" s="631">
        <f t="shared" si="516"/>
        <v>-0.08</v>
      </c>
      <c r="AM229" s="370">
        <f t="shared" si="516"/>
        <v>211218800</v>
      </c>
      <c r="AN229" s="371">
        <f t="shared" si="516"/>
        <v>156412583</v>
      </c>
      <c r="AO229" s="371">
        <f t="shared" si="516"/>
        <v>280000</v>
      </c>
      <c r="AP229" s="371">
        <f t="shared" si="516"/>
        <v>52962091</v>
      </c>
      <c r="AQ229" s="371">
        <f t="shared" si="516"/>
        <v>1564126</v>
      </c>
      <c r="AR229" s="371">
        <f t="shared" si="516"/>
        <v>0</v>
      </c>
      <c r="AS229" s="373">
        <f t="shared" si="516"/>
        <v>272.45999999999998</v>
      </c>
    </row>
    <row r="230" spans="1:45" x14ac:dyDescent="0.2">
      <c r="D230" s="8"/>
      <c r="E230" s="4"/>
      <c r="F230" s="8"/>
      <c r="G230" s="17"/>
      <c r="H230" s="2">
        <v>3113</v>
      </c>
      <c r="I230" s="119">
        <f t="shared" ref="I230:AS230" si="517">SUMIF($F$12:$F$383,"=3113",I$12:I$383)</f>
        <v>525614623</v>
      </c>
      <c r="J230" s="14">
        <f t="shared" si="517"/>
        <v>389039641</v>
      </c>
      <c r="K230" s="14">
        <f t="shared" si="517"/>
        <v>888784</v>
      </c>
      <c r="L230" s="14">
        <f t="shared" si="517"/>
        <v>131795804</v>
      </c>
      <c r="M230" s="14">
        <f t="shared" si="517"/>
        <v>3890394</v>
      </c>
      <c r="N230" s="14">
        <f t="shared" si="517"/>
        <v>0</v>
      </c>
      <c r="O230" s="633">
        <f t="shared" si="517"/>
        <v>588.2199999999998</v>
      </c>
      <c r="P230" s="120">
        <f t="shared" si="517"/>
        <v>-388656</v>
      </c>
      <c r="Q230" s="14">
        <f t="shared" si="517"/>
        <v>355190</v>
      </c>
      <c r="R230" s="14">
        <f t="shared" si="517"/>
        <v>0</v>
      </c>
      <c r="S230" s="14">
        <f t="shared" si="517"/>
        <v>0</v>
      </c>
      <c r="T230" s="14">
        <f t="shared" si="517"/>
        <v>0</v>
      </c>
      <c r="U230" s="14">
        <f t="shared" si="517"/>
        <v>0</v>
      </c>
      <c r="V230" s="14">
        <f t="shared" si="517"/>
        <v>-33466</v>
      </c>
      <c r="W230" s="14">
        <f t="shared" si="517"/>
        <v>388656</v>
      </c>
      <c r="X230" s="14">
        <f t="shared" si="517"/>
        <v>0</v>
      </c>
      <c r="Y230" s="14">
        <f t="shared" si="517"/>
        <v>0</v>
      </c>
      <c r="Z230" s="14">
        <f t="shared" si="517"/>
        <v>388656</v>
      </c>
      <c r="AA230" s="14">
        <f t="shared" si="517"/>
        <v>355190</v>
      </c>
      <c r="AB230" s="14">
        <f t="shared" si="517"/>
        <v>120055</v>
      </c>
      <c r="AC230" s="14">
        <f t="shared" si="517"/>
        <v>-334</v>
      </c>
      <c r="AD230" s="14">
        <f t="shared" si="517"/>
        <v>0</v>
      </c>
      <c r="AE230" s="626">
        <f t="shared" si="517"/>
        <v>474911</v>
      </c>
      <c r="AF230" s="632">
        <f t="shared" si="517"/>
        <v>-0.55999999999999994</v>
      </c>
      <c r="AG230" s="11">
        <f t="shared" si="517"/>
        <v>0.89000000000000035</v>
      </c>
      <c r="AH230" s="11">
        <f t="shared" si="517"/>
        <v>0</v>
      </c>
      <c r="AI230" s="11">
        <f t="shared" si="517"/>
        <v>0</v>
      </c>
      <c r="AJ230" s="11">
        <f t="shared" si="517"/>
        <v>0</v>
      </c>
      <c r="AK230" s="11">
        <f t="shared" si="517"/>
        <v>0</v>
      </c>
      <c r="AL230" s="633">
        <f t="shared" si="517"/>
        <v>0.32999999999999979</v>
      </c>
      <c r="AM230" s="119">
        <f t="shared" si="517"/>
        <v>526089534</v>
      </c>
      <c r="AN230" s="14">
        <f t="shared" si="517"/>
        <v>389006175</v>
      </c>
      <c r="AO230" s="14">
        <f t="shared" si="517"/>
        <v>1277440</v>
      </c>
      <c r="AP230" s="14">
        <f t="shared" si="517"/>
        <v>131915859</v>
      </c>
      <c r="AQ230" s="14">
        <f t="shared" si="517"/>
        <v>3890060</v>
      </c>
      <c r="AR230" s="14">
        <f t="shared" si="517"/>
        <v>0</v>
      </c>
      <c r="AS230" s="11">
        <f t="shared" si="517"/>
        <v>588.55000000000007</v>
      </c>
    </row>
    <row r="231" spans="1:45" x14ac:dyDescent="0.2">
      <c r="D231" s="8"/>
      <c r="E231" s="4"/>
      <c r="F231" s="8"/>
      <c r="G231" s="17"/>
      <c r="H231" s="2">
        <v>3114</v>
      </c>
      <c r="I231" s="119">
        <f t="shared" ref="I231:AS231" si="518">SUMIF($F$12:$F$383,"=3114",I$12:I$383)</f>
        <v>49977375</v>
      </c>
      <c r="J231" s="14">
        <f t="shared" si="518"/>
        <v>37075205</v>
      </c>
      <c r="K231" s="14">
        <f t="shared" si="518"/>
        <v>0</v>
      </c>
      <c r="L231" s="14">
        <f t="shared" si="518"/>
        <v>12531419</v>
      </c>
      <c r="M231" s="14">
        <f t="shared" si="518"/>
        <v>370751</v>
      </c>
      <c r="N231" s="14">
        <f t="shared" si="518"/>
        <v>0</v>
      </c>
      <c r="O231" s="633">
        <f t="shared" si="518"/>
        <v>56.7</v>
      </c>
      <c r="P231" s="120">
        <f t="shared" si="518"/>
        <v>0</v>
      </c>
      <c r="Q231" s="14">
        <f t="shared" si="518"/>
        <v>0</v>
      </c>
      <c r="R231" s="14">
        <f t="shared" si="518"/>
        <v>0</v>
      </c>
      <c r="S231" s="14">
        <f t="shared" si="518"/>
        <v>0</v>
      </c>
      <c r="T231" s="14">
        <f t="shared" si="518"/>
        <v>0</v>
      </c>
      <c r="U231" s="14">
        <f t="shared" si="518"/>
        <v>0</v>
      </c>
      <c r="V231" s="14">
        <f t="shared" si="518"/>
        <v>0</v>
      </c>
      <c r="W231" s="14">
        <f t="shared" si="518"/>
        <v>0</v>
      </c>
      <c r="X231" s="14">
        <f t="shared" si="518"/>
        <v>0</v>
      </c>
      <c r="Y231" s="14">
        <f t="shared" si="518"/>
        <v>0</v>
      </c>
      <c r="Z231" s="14">
        <f t="shared" si="518"/>
        <v>0</v>
      </c>
      <c r="AA231" s="14">
        <f t="shared" si="518"/>
        <v>0</v>
      </c>
      <c r="AB231" s="14">
        <f t="shared" si="518"/>
        <v>0</v>
      </c>
      <c r="AC231" s="14">
        <f t="shared" si="518"/>
        <v>0</v>
      </c>
      <c r="AD231" s="14">
        <f t="shared" si="518"/>
        <v>0</v>
      </c>
      <c r="AE231" s="626">
        <f t="shared" si="518"/>
        <v>0</v>
      </c>
      <c r="AF231" s="632">
        <f t="shared" si="518"/>
        <v>0</v>
      </c>
      <c r="AG231" s="11">
        <f t="shared" si="518"/>
        <v>0</v>
      </c>
      <c r="AH231" s="11">
        <f t="shared" si="518"/>
        <v>0</v>
      </c>
      <c r="AI231" s="11">
        <f t="shared" si="518"/>
        <v>0</v>
      </c>
      <c r="AJ231" s="11">
        <f t="shared" si="518"/>
        <v>0</v>
      </c>
      <c r="AK231" s="11">
        <f t="shared" si="518"/>
        <v>0</v>
      </c>
      <c r="AL231" s="633">
        <f t="shared" si="518"/>
        <v>0</v>
      </c>
      <c r="AM231" s="119">
        <f t="shared" si="518"/>
        <v>49977375</v>
      </c>
      <c r="AN231" s="14">
        <f t="shared" si="518"/>
        <v>37075205</v>
      </c>
      <c r="AO231" s="14">
        <f t="shared" si="518"/>
        <v>0</v>
      </c>
      <c r="AP231" s="14">
        <f t="shared" si="518"/>
        <v>12531419</v>
      </c>
      <c r="AQ231" s="14">
        <f t="shared" si="518"/>
        <v>370751</v>
      </c>
      <c r="AR231" s="14">
        <f t="shared" si="518"/>
        <v>0</v>
      </c>
      <c r="AS231" s="11">
        <f t="shared" si="518"/>
        <v>56.7</v>
      </c>
    </row>
    <row r="232" spans="1:45" x14ac:dyDescent="0.2">
      <c r="D232" s="8"/>
      <c r="E232" s="4"/>
      <c r="F232" s="8"/>
      <c r="G232" s="17"/>
      <c r="H232" s="2">
        <v>3117</v>
      </c>
      <c r="I232" s="119">
        <f t="shared" ref="I232:AS232" si="519">SUMIF($F$12:$F$383,"=3117",I$12:I$383)</f>
        <v>50261608</v>
      </c>
      <c r="J232" s="14">
        <f t="shared" si="519"/>
        <v>37225709</v>
      </c>
      <c r="K232" s="14">
        <f t="shared" si="519"/>
        <v>60800</v>
      </c>
      <c r="L232" s="14">
        <f t="shared" si="519"/>
        <v>12602842</v>
      </c>
      <c r="M232" s="14">
        <f t="shared" si="519"/>
        <v>372257</v>
      </c>
      <c r="N232" s="14">
        <f t="shared" si="519"/>
        <v>0</v>
      </c>
      <c r="O232" s="633">
        <f t="shared" si="519"/>
        <v>65.430000000000007</v>
      </c>
      <c r="P232" s="120">
        <f t="shared" si="519"/>
        <v>-22000</v>
      </c>
      <c r="Q232" s="14">
        <f t="shared" si="519"/>
        <v>245302</v>
      </c>
      <c r="R232" s="14">
        <f t="shared" si="519"/>
        <v>0</v>
      </c>
      <c r="S232" s="14">
        <f t="shared" si="519"/>
        <v>0</v>
      </c>
      <c r="T232" s="14">
        <f t="shared" si="519"/>
        <v>0</v>
      </c>
      <c r="U232" s="14">
        <f t="shared" si="519"/>
        <v>0</v>
      </c>
      <c r="V232" s="14">
        <f t="shared" si="519"/>
        <v>223302</v>
      </c>
      <c r="W232" s="14">
        <f t="shared" si="519"/>
        <v>22000</v>
      </c>
      <c r="X232" s="14">
        <f t="shared" si="519"/>
        <v>0</v>
      </c>
      <c r="Y232" s="14">
        <f t="shared" si="519"/>
        <v>0</v>
      </c>
      <c r="Z232" s="14">
        <f t="shared" si="519"/>
        <v>22000</v>
      </c>
      <c r="AA232" s="14">
        <f t="shared" si="519"/>
        <v>245302</v>
      </c>
      <c r="AB232" s="14">
        <f t="shared" si="519"/>
        <v>82912</v>
      </c>
      <c r="AC232" s="14">
        <f t="shared" si="519"/>
        <v>2233</v>
      </c>
      <c r="AD232" s="14">
        <f t="shared" si="519"/>
        <v>0</v>
      </c>
      <c r="AE232" s="626">
        <f t="shared" si="519"/>
        <v>330447</v>
      </c>
      <c r="AF232" s="632">
        <f t="shared" si="519"/>
        <v>-0.01</v>
      </c>
      <c r="AG232" s="11">
        <f t="shared" si="519"/>
        <v>0.60000000000000009</v>
      </c>
      <c r="AH232" s="11">
        <f t="shared" si="519"/>
        <v>0</v>
      </c>
      <c r="AI232" s="11">
        <f t="shared" si="519"/>
        <v>0</v>
      </c>
      <c r="AJ232" s="11">
        <f t="shared" si="519"/>
        <v>0</v>
      </c>
      <c r="AK232" s="11">
        <f t="shared" si="519"/>
        <v>0</v>
      </c>
      <c r="AL232" s="633">
        <f t="shared" si="519"/>
        <v>0.59000000000000008</v>
      </c>
      <c r="AM232" s="119">
        <f t="shared" si="519"/>
        <v>50592055</v>
      </c>
      <c r="AN232" s="14">
        <f t="shared" si="519"/>
        <v>37449011</v>
      </c>
      <c r="AO232" s="14">
        <f t="shared" si="519"/>
        <v>82800</v>
      </c>
      <c r="AP232" s="14">
        <f t="shared" si="519"/>
        <v>12685754</v>
      </c>
      <c r="AQ232" s="14">
        <f t="shared" si="519"/>
        <v>374490</v>
      </c>
      <c r="AR232" s="14">
        <f t="shared" si="519"/>
        <v>0</v>
      </c>
      <c r="AS232" s="11">
        <f t="shared" si="519"/>
        <v>66.02000000000001</v>
      </c>
    </row>
    <row r="233" spans="1:45" x14ac:dyDescent="0.2">
      <c r="D233" s="8"/>
      <c r="E233" s="4"/>
      <c r="F233" s="8"/>
      <c r="G233" s="17"/>
      <c r="H233" s="2">
        <v>3122</v>
      </c>
      <c r="I233" s="119">
        <f t="shared" ref="I233:AS233" si="520">SUMIF($F$12:$F$383,"=3122",I$12:I$383)</f>
        <v>0</v>
      </c>
      <c r="J233" s="14">
        <f t="shared" si="520"/>
        <v>0</v>
      </c>
      <c r="K233" s="14">
        <f t="shared" si="520"/>
        <v>0</v>
      </c>
      <c r="L233" s="14">
        <f t="shared" si="520"/>
        <v>0</v>
      </c>
      <c r="M233" s="14">
        <f t="shared" si="520"/>
        <v>0</v>
      </c>
      <c r="N233" s="14">
        <f t="shared" si="520"/>
        <v>0</v>
      </c>
      <c r="O233" s="633">
        <f t="shared" si="520"/>
        <v>0</v>
      </c>
      <c r="P233" s="120">
        <f t="shared" si="520"/>
        <v>0</v>
      </c>
      <c r="Q233" s="14">
        <f t="shared" si="520"/>
        <v>0</v>
      </c>
      <c r="R233" s="14">
        <f t="shared" si="520"/>
        <v>0</v>
      </c>
      <c r="S233" s="14">
        <f t="shared" si="520"/>
        <v>0</v>
      </c>
      <c r="T233" s="14">
        <f t="shared" si="520"/>
        <v>0</v>
      </c>
      <c r="U233" s="14">
        <f t="shared" si="520"/>
        <v>0</v>
      </c>
      <c r="V233" s="14">
        <f t="shared" si="520"/>
        <v>0</v>
      </c>
      <c r="W233" s="14">
        <f t="shared" si="520"/>
        <v>0</v>
      </c>
      <c r="X233" s="14">
        <f t="shared" si="520"/>
        <v>0</v>
      </c>
      <c r="Y233" s="14">
        <f t="shared" si="520"/>
        <v>0</v>
      </c>
      <c r="Z233" s="14">
        <f t="shared" si="520"/>
        <v>0</v>
      </c>
      <c r="AA233" s="14">
        <f t="shared" si="520"/>
        <v>0</v>
      </c>
      <c r="AB233" s="14">
        <f t="shared" si="520"/>
        <v>0</v>
      </c>
      <c r="AC233" s="14">
        <f t="shared" si="520"/>
        <v>0</v>
      </c>
      <c r="AD233" s="14">
        <f t="shared" si="520"/>
        <v>0</v>
      </c>
      <c r="AE233" s="626">
        <f t="shared" si="520"/>
        <v>0</v>
      </c>
      <c r="AF233" s="632">
        <f t="shared" si="520"/>
        <v>0</v>
      </c>
      <c r="AG233" s="11">
        <f t="shared" si="520"/>
        <v>0</v>
      </c>
      <c r="AH233" s="11">
        <f t="shared" si="520"/>
        <v>0</v>
      </c>
      <c r="AI233" s="11">
        <f t="shared" si="520"/>
        <v>0</v>
      </c>
      <c r="AJ233" s="11">
        <f t="shared" si="520"/>
        <v>0</v>
      </c>
      <c r="AK233" s="11">
        <f t="shared" si="520"/>
        <v>0</v>
      </c>
      <c r="AL233" s="633">
        <f t="shared" si="520"/>
        <v>0</v>
      </c>
      <c r="AM233" s="119">
        <f t="shared" si="520"/>
        <v>0</v>
      </c>
      <c r="AN233" s="14">
        <f t="shared" si="520"/>
        <v>0</v>
      </c>
      <c r="AO233" s="14">
        <f t="shared" si="520"/>
        <v>0</v>
      </c>
      <c r="AP233" s="14">
        <f t="shared" si="520"/>
        <v>0</v>
      </c>
      <c r="AQ233" s="14">
        <f t="shared" si="520"/>
        <v>0</v>
      </c>
      <c r="AR233" s="14">
        <f t="shared" si="520"/>
        <v>0</v>
      </c>
      <c r="AS233" s="11">
        <f t="shared" si="520"/>
        <v>0</v>
      </c>
    </row>
    <row r="234" spans="1:45" x14ac:dyDescent="0.2">
      <c r="D234" s="8"/>
      <c r="E234" s="4"/>
      <c r="F234" s="8"/>
      <c r="G234" s="17"/>
      <c r="H234" s="2">
        <v>3124</v>
      </c>
      <c r="I234" s="119">
        <f t="shared" ref="I234:AS234" si="521">SUMIF($F$12:$F$383,"=3124",I$12:I$383)</f>
        <v>4596416</v>
      </c>
      <c r="J234" s="14">
        <f t="shared" si="521"/>
        <v>3409804</v>
      </c>
      <c r="K234" s="14">
        <f t="shared" si="521"/>
        <v>0</v>
      </c>
      <c r="L234" s="14">
        <f t="shared" si="521"/>
        <v>1152514</v>
      </c>
      <c r="M234" s="14">
        <f t="shared" si="521"/>
        <v>34098</v>
      </c>
      <c r="N234" s="14">
        <f t="shared" si="521"/>
        <v>0</v>
      </c>
      <c r="O234" s="633">
        <f t="shared" si="521"/>
        <v>5.21</v>
      </c>
      <c r="P234" s="120">
        <f t="shared" si="521"/>
        <v>0</v>
      </c>
      <c r="Q234" s="14">
        <f t="shared" si="521"/>
        <v>0</v>
      </c>
      <c r="R234" s="14">
        <f t="shared" si="521"/>
        <v>0</v>
      </c>
      <c r="S234" s="14">
        <f t="shared" si="521"/>
        <v>0</v>
      </c>
      <c r="T234" s="14">
        <f t="shared" si="521"/>
        <v>0</v>
      </c>
      <c r="U234" s="14">
        <f t="shared" si="521"/>
        <v>0</v>
      </c>
      <c r="V234" s="14">
        <f t="shared" si="521"/>
        <v>0</v>
      </c>
      <c r="W234" s="14">
        <f t="shared" si="521"/>
        <v>0</v>
      </c>
      <c r="X234" s="14">
        <f t="shared" si="521"/>
        <v>0</v>
      </c>
      <c r="Y234" s="14">
        <f t="shared" si="521"/>
        <v>0</v>
      </c>
      <c r="Z234" s="14">
        <f t="shared" si="521"/>
        <v>0</v>
      </c>
      <c r="AA234" s="14">
        <f t="shared" si="521"/>
        <v>0</v>
      </c>
      <c r="AB234" s="14">
        <f t="shared" si="521"/>
        <v>0</v>
      </c>
      <c r="AC234" s="14">
        <f t="shared" si="521"/>
        <v>0</v>
      </c>
      <c r="AD234" s="14">
        <f t="shared" si="521"/>
        <v>0</v>
      </c>
      <c r="AE234" s="626">
        <f t="shared" si="521"/>
        <v>0</v>
      </c>
      <c r="AF234" s="632">
        <f t="shared" si="521"/>
        <v>0</v>
      </c>
      <c r="AG234" s="11">
        <f t="shared" si="521"/>
        <v>0</v>
      </c>
      <c r="AH234" s="11">
        <f t="shared" si="521"/>
        <v>0</v>
      </c>
      <c r="AI234" s="11">
        <f t="shared" si="521"/>
        <v>0</v>
      </c>
      <c r="AJ234" s="11">
        <f t="shared" si="521"/>
        <v>0</v>
      </c>
      <c r="AK234" s="11">
        <f t="shared" si="521"/>
        <v>0</v>
      </c>
      <c r="AL234" s="633">
        <f t="shared" si="521"/>
        <v>0</v>
      </c>
      <c r="AM234" s="119">
        <f t="shared" si="521"/>
        <v>4596416</v>
      </c>
      <c r="AN234" s="14">
        <f t="shared" si="521"/>
        <v>3409804</v>
      </c>
      <c r="AO234" s="14">
        <f t="shared" si="521"/>
        <v>0</v>
      </c>
      <c r="AP234" s="14">
        <f t="shared" si="521"/>
        <v>1152514</v>
      </c>
      <c r="AQ234" s="14">
        <f t="shared" si="521"/>
        <v>34098</v>
      </c>
      <c r="AR234" s="14">
        <f t="shared" si="521"/>
        <v>0</v>
      </c>
      <c r="AS234" s="11">
        <f t="shared" si="521"/>
        <v>5.21</v>
      </c>
    </row>
    <row r="235" spans="1:45" x14ac:dyDescent="0.2">
      <c r="D235" s="8"/>
      <c r="E235" s="4"/>
      <c r="F235" s="8"/>
      <c r="G235" s="17"/>
      <c r="H235" s="2">
        <v>3141</v>
      </c>
      <c r="I235" s="119">
        <f t="shared" ref="I235:AS235" si="522">SUMIF($F$12:$F$383,"=3141",I$12:I$383)</f>
        <v>0</v>
      </c>
      <c r="J235" s="14">
        <f t="shared" si="522"/>
        <v>0</v>
      </c>
      <c r="K235" s="14">
        <f t="shared" si="522"/>
        <v>0</v>
      </c>
      <c r="L235" s="14">
        <f t="shared" si="522"/>
        <v>0</v>
      </c>
      <c r="M235" s="14">
        <f t="shared" si="522"/>
        <v>0</v>
      </c>
      <c r="N235" s="14">
        <f t="shared" si="522"/>
        <v>0</v>
      </c>
      <c r="O235" s="633">
        <f t="shared" si="522"/>
        <v>0</v>
      </c>
      <c r="P235" s="120">
        <f t="shared" si="522"/>
        <v>0</v>
      </c>
      <c r="Q235" s="14">
        <f t="shared" si="522"/>
        <v>0</v>
      </c>
      <c r="R235" s="14">
        <f t="shared" si="522"/>
        <v>0</v>
      </c>
      <c r="S235" s="14">
        <f t="shared" si="522"/>
        <v>0</v>
      </c>
      <c r="T235" s="14">
        <f t="shared" si="522"/>
        <v>0</v>
      </c>
      <c r="U235" s="14">
        <f t="shared" si="522"/>
        <v>0</v>
      </c>
      <c r="V235" s="14">
        <f t="shared" si="522"/>
        <v>0</v>
      </c>
      <c r="W235" s="14">
        <f t="shared" si="522"/>
        <v>0</v>
      </c>
      <c r="X235" s="14">
        <f t="shared" si="522"/>
        <v>0</v>
      </c>
      <c r="Y235" s="14">
        <f t="shared" si="522"/>
        <v>0</v>
      </c>
      <c r="Z235" s="14">
        <f t="shared" si="522"/>
        <v>0</v>
      </c>
      <c r="AA235" s="14">
        <f t="shared" si="522"/>
        <v>0</v>
      </c>
      <c r="AB235" s="14">
        <f t="shared" si="522"/>
        <v>0</v>
      </c>
      <c r="AC235" s="14">
        <f t="shared" si="522"/>
        <v>0</v>
      </c>
      <c r="AD235" s="14">
        <f t="shared" si="522"/>
        <v>0</v>
      </c>
      <c r="AE235" s="626">
        <f t="shared" si="522"/>
        <v>0</v>
      </c>
      <c r="AF235" s="632">
        <f t="shared" si="522"/>
        <v>0</v>
      </c>
      <c r="AG235" s="11">
        <f t="shared" si="522"/>
        <v>0</v>
      </c>
      <c r="AH235" s="11">
        <f t="shared" si="522"/>
        <v>0</v>
      </c>
      <c r="AI235" s="11">
        <f t="shared" si="522"/>
        <v>0</v>
      </c>
      <c r="AJ235" s="11">
        <f t="shared" si="522"/>
        <v>0</v>
      </c>
      <c r="AK235" s="11">
        <f t="shared" si="522"/>
        <v>0</v>
      </c>
      <c r="AL235" s="633">
        <f t="shared" si="522"/>
        <v>0</v>
      </c>
      <c r="AM235" s="119">
        <f t="shared" si="522"/>
        <v>0</v>
      </c>
      <c r="AN235" s="14">
        <f t="shared" si="522"/>
        <v>0</v>
      </c>
      <c r="AO235" s="14">
        <f t="shared" si="522"/>
        <v>0</v>
      </c>
      <c r="AP235" s="14">
        <f t="shared" si="522"/>
        <v>0</v>
      </c>
      <c r="AQ235" s="14">
        <f t="shared" si="522"/>
        <v>0</v>
      </c>
      <c r="AR235" s="14">
        <f t="shared" si="522"/>
        <v>0</v>
      </c>
      <c r="AS235" s="11">
        <f t="shared" si="522"/>
        <v>0</v>
      </c>
    </row>
    <row r="236" spans="1:45" x14ac:dyDescent="0.2">
      <c r="D236" s="8"/>
      <c r="E236" s="4"/>
      <c r="F236" s="8"/>
      <c r="G236" s="17"/>
      <c r="H236" s="2">
        <v>3143</v>
      </c>
      <c r="I236" s="119">
        <f t="shared" ref="I236:AS236" si="523">SUMIF($F$12:$F$383,"=3143",I$12:I$383)</f>
        <v>62370265</v>
      </c>
      <c r="J236" s="14">
        <f t="shared" si="523"/>
        <v>46127595</v>
      </c>
      <c r="K236" s="14">
        <f t="shared" si="523"/>
        <v>142200</v>
      </c>
      <c r="L236" s="14">
        <f t="shared" si="523"/>
        <v>15639191</v>
      </c>
      <c r="M236" s="14">
        <f t="shared" si="523"/>
        <v>461279</v>
      </c>
      <c r="N236" s="14">
        <f t="shared" si="523"/>
        <v>0</v>
      </c>
      <c r="O236" s="633">
        <f t="shared" si="523"/>
        <v>87.509999999999991</v>
      </c>
      <c r="P236" s="120">
        <f t="shared" si="523"/>
        <v>-94800</v>
      </c>
      <c r="Q236" s="14">
        <f t="shared" si="523"/>
        <v>0</v>
      </c>
      <c r="R236" s="14">
        <f t="shared" si="523"/>
        <v>0</v>
      </c>
      <c r="S236" s="14">
        <f t="shared" si="523"/>
        <v>0</v>
      </c>
      <c r="T236" s="14">
        <f t="shared" si="523"/>
        <v>0</v>
      </c>
      <c r="U236" s="14">
        <f t="shared" si="523"/>
        <v>0</v>
      </c>
      <c r="V236" s="14">
        <f t="shared" si="523"/>
        <v>-94800</v>
      </c>
      <c r="W236" s="14">
        <f t="shared" si="523"/>
        <v>94800</v>
      </c>
      <c r="X236" s="14">
        <f t="shared" si="523"/>
        <v>0</v>
      </c>
      <c r="Y236" s="14">
        <f t="shared" si="523"/>
        <v>0</v>
      </c>
      <c r="Z236" s="14">
        <f t="shared" si="523"/>
        <v>94800</v>
      </c>
      <c r="AA236" s="14">
        <f t="shared" si="523"/>
        <v>0</v>
      </c>
      <c r="AB236" s="14">
        <f t="shared" si="523"/>
        <v>0</v>
      </c>
      <c r="AC236" s="14">
        <f t="shared" si="523"/>
        <v>-948</v>
      </c>
      <c r="AD236" s="14">
        <f t="shared" si="523"/>
        <v>0</v>
      </c>
      <c r="AE236" s="626">
        <f t="shared" si="523"/>
        <v>-948</v>
      </c>
      <c r="AF236" s="632">
        <f t="shared" si="523"/>
        <v>-0.09</v>
      </c>
      <c r="AG236" s="11">
        <f t="shared" si="523"/>
        <v>0</v>
      </c>
      <c r="AH236" s="11">
        <f t="shared" si="523"/>
        <v>0</v>
      </c>
      <c r="AI236" s="11">
        <f t="shared" si="523"/>
        <v>0</v>
      </c>
      <c r="AJ236" s="11">
        <f t="shared" si="523"/>
        <v>0</v>
      </c>
      <c r="AK236" s="11">
        <f t="shared" si="523"/>
        <v>0</v>
      </c>
      <c r="AL236" s="633">
        <f t="shared" si="523"/>
        <v>-0.09</v>
      </c>
      <c r="AM236" s="119">
        <f t="shared" si="523"/>
        <v>62369317</v>
      </c>
      <c r="AN236" s="14">
        <f t="shared" si="523"/>
        <v>46032795</v>
      </c>
      <c r="AO236" s="14">
        <f t="shared" si="523"/>
        <v>237000</v>
      </c>
      <c r="AP236" s="14">
        <f t="shared" si="523"/>
        <v>15639191</v>
      </c>
      <c r="AQ236" s="14">
        <f t="shared" si="523"/>
        <v>460331</v>
      </c>
      <c r="AR236" s="14">
        <f t="shared" si="523"/>
        <v>0</v>
      </c>
      <c r="AS236" s="11">
        <f t="shared" si="523"/>
        <v>87.42</v>
      </c>
    </row>
    <row r="237" spans="1:45" x14ac:dyDescent="0.2">
      <c r="D237" s="8"/>
      <c r="E237" s="4"/>
      <c r="F237" s="8"/>
      <c r="G237" s="17"/>
      <c r="H237" s="2">
        <v>3231</v>
      </c>
      <c r="I237" s="119">
        <f t="shared" ref="I237:AS237" si="524">SUMIF($F$12:$F$383,"=3231",I$12:I$383)</f>
        <v>64351506</v>
      </c>
      <c r="J237" s="14">
        <f t="shared" si="524"/>
        <v>47732550</v>
      </c>
      <c r="K237" s="14">
        <f t="shared" si="524"/>
        <v>6000</v>
      </c>
      <c r="L237" s="14">
        <f t="shared" si="524"/>
        <v>16135631</v>
      </c>
      <c r="M237" s="14">
        <f t="shared" si="524"/>
        <v>477325</v>
      </c>
      <c r="N237" s="14">
        <f t="shared" si="524"/>
        <v>0</v>
      </c>
      <c r="O237" s="633">
        <f t="shared" si="524"/>
        <v>71.570000000000007</v>
      </c>
      <c r="P237" s="120">
        <f t="shared" si="524"/>
        <v>-4000</v>
      </c>
      <c r="Q237" s="14">
        <f t="shared" si="524"/>
        <v>0</v>
      </c>
      <c r="R237" s="14">
        <f t="shared" si="524"/>
        <v>0</v>
      </c>
      <c r="S237" s="14">
        <f t="shared" si="524"/>
        <v>0</v>
      </c>
      <c r="T237" s="14">
        <f t="shared" si="524"/>
        <v>0</v>
      </c>
      <c r="U237" s="14">
        <f t="shared" si="524"/>
        <v>0</v>
      </c>
      <c r="V237" s="14">
        <f t="shared" si="524"/>
        <v>-4000</v>
      </c>
      <c r="W237" s="14">
        <f t="shared" si="524"/>
        <v>4000</v>
      </c>
      <c r="X237" s="14">
        <f t="shared" si="524"/>
        <v>0</v>
      </c>
      <c r="Y237" s="14">
        <f t="shared" si="524"/>
        <v>0</v>
      </c>
      <c r="Z237" s="14">
        <f t="shared" si="524"/>
        <v>4000</v>
      </c>
      <c r="AA237" s="14">
        <f t="shared" si="524"/>
        <v>0</v>
      </c>
      <c r="AB237" s="14">
        <f t="shared" si="524"/>
        <v>0</v>
      </c>
      <c r="AC237" s="14">
        <f t="shared" si="524"/>
        <v>-40</v>
      </c>
      <c r="AD237" s="14">
        <f t="shared" si="524"/>
        <v>0</v>
      </c>
      <c r="AE237" s="626">
        <f t="shared" si="524"/>
        <v>-40</v>
      </c>
      <c r="AF237" s="632">
        <f t="shared" si="524"/>
        <v>-0.01</v>
      </c>
      <c r="AG237" s="11">
        <f t="shared" si="524"/>
        <v>0</v>
      </c>
      <c r="AH237" s="11">
        <f t="shared" si="524"/>
        <v>0</v>
      </c>
      <c r="AI237" s="11">
        <f t="shared" si="524"/>
        <v>0</v>
      </c>
      <c r="AJ237" s="11">
        <f t="shared" si="524"/>
        <v>0</v>
      </c>
      <c r="AK237" s="11">
        <f t="shared" si="524"/>
        <v>0</v>
      </c>
      <c r="AL237" s="633">
        <f t="shared" si="524"/>
        <v>-0.01</v>
      </c>
      <c r="AM237" s="119">
        <f t="shared" si="524"/>
        <v>64351466</v>
      </c>
      <c r="AN237" s="14">
        <f t="shared" si="524"/>
        <v>47728550</v>
      </c>
      <c r="AO237" s="14">
        <f t="shared" si="524"/>
        <v>10000</v>
      </c>
      <c r="AP237" s="14">
        <f t="shared" si="524"/>
        <v>16135631</v>
      </c>
      <c r="AQ237" s="14">
        <f t="shared" si="524"/>
        <v>477285</v>
      </c>
      <c r="AR237" s="14">
        <f t="shared" si="524"/>
        <v>0</v>
      </c>
      <c r="AS237" s="11">
        <f t="shared" si="524"/>
        <v>71.56</v>
      </c>
    </row>
    <row r="238" spans="1:45" ht="13.5" thickBot="1" x14ac:dyDescent="0.25">
      <c r="D238" s="8"/>
      <c r="E238" s="4"/>
      <c r="F238" s="8"/>
      <c r="G238" s="17"/>
      <c r="H238" s="103">
        <v>3233</v>
      </c>
      <c r="I238" s="122">
        <f t="shared" ref="I238:AS238" si="525">SUMIF($F$12:$F$383,"=3233",I$12:I$383)</f>
        <v>7260004</v>
      </c>
      <c r="J238" s="123">
        <f t="shared" si="525"/>
        <v>4918254</v>
      </c>
      <c r="K238" s="123">
        <f t="shared" si="525"/>
        <v>471000</v>
      </c>
      <c r="L238" s="123">
        <f t="shared" si="525"/>
        <v>1821568</v>
      </c>
      <c r="M238" s="123">
        <f t="shared" si="525"/>
        <v>49182</v>
      </c>
      <c r="N238" s="123">
        <f t="shared" si="525"/>
        <v>0</v>
      </c>
      <c r="O238" s="635">
        <f t="shared" si="525"/>
        <v>8.14</v>
      </c>
      <c r="P238" s="125">
        <f t="shared" si="525"/>
        <v>-314000</v>
      </c>
      <c r="Q238" s="123">
        <f t="shared" si="525"/>
        <v>0</v>
      </c>
      <c r="R238" s="123">
        <f t="shared" si="525"/>
        <v>0</v>
      </c>
      <c r="S238" s="123">
        <f t="shared" si="525"/>
        <v>0</v>
      </c>
      <c r="T238" s="123">
        <f t="shared" si="525"/>
        <v>0</v>
      </c>
      <c r="U238" s="123">
        <f t="shared" si="525"/>
        <v>0</v>
      </c>
      <c r="V238" s="123">
        <f t="shared" si="525"/>
        <v>-314000</v>
      </c>
      <c r="W238" s="123">
        <f t="shared" si="525"/>
        <v>314000</v>
      </c>
      <c r="X238" s="123">
        <f t="shared" si="525"/>
        <v>0</v>
      </c>
      <c r="Y238" s="123">
        <f t="shared" si="525"/>
        <v>0</v>
      </c>
      <c r="Z238" s="123">
        <f t="shared" si="525"/>
        <v>314000</v>
      </c>
      <c r="AA238" s="123">
        <f t="shared" si="525"/>
        <v>0</v>
      </c>
      <c r="AB238" s="123">
        <f t="shared" si="525"/>
        <v>0</v>
      </c>
      <c r="AC238" s="123">
        <f t="shared" si="525"/>
        <v>-3140</v>
      </c>
      <c r="AD238" s="123">
        <f t="shared" si="525"/>
        <v>0</v>
      </c>
      <c r="AE238" s="627">
        <f t="shared" si="525"/>
        <v>-3140</v>
      </c>
      <c r="AF238" s="634">
        <f t="shared" si="525"/>
        <v>-0.59000000000000008</v>
      </c>
      <c r="AG238" s="124">
        <f t="shared" si="525"/>
        <v>0</v>
      </c>
      <c r="AH238" s="124">
        <f t="shared" si="525"/>
        <v>0</v>
      </c>
      <c r="AI238" s="124">
        <f t="shared" si="525"/>
        <v>0</v>
      </c>
      <c r="AJ238" s="124">
        <f t="shared" si="525"/>
        <v>0</v>
      </c>
      <c r="AK238" s="124">
        <f t="shared" si="525"/>
        <v>0</v>
      </c>
      <c r="AL238" s="635">
        <f t="shared" si="525"/>
        <v>-0.59000000000000008</v>
      </c>
      <c r="AM238" s="122">
        <f t="shared" si="525"/>
        <v>7256864</v>
      </c>
      <c r="AN238" s="123">
        <f t="shared" si="525"/>
        <v>4604254</v>
      </c>
      <c r="AO238" s="123">
        <f t="shared" si="525"/>
        <v>785000</v>
      </c>
      <c r="AP238" s="123">
        <f t="shared" si="525"/>
        <v>1821568</v>
      </c>
      <c r="AQ238" s="123">
        <f t="shared" si="525"/>
        <v>46042</v>
      </c>
      <c r="AR238" s="123">
        <f t="shared" si="525"/>
        <v>0</v>
      </c>
      <c r="AS238" s="124">
        <f t="shared" si="525"/>
        <v>7.5500000000000007</v>
      </c>
    </row>
    <row r="239" spans="1:45" x14ac:dyDescent="0.2">
      <c r="D239" s="4"/>
      <c r="E239" s="4"/>
      <c r="F239" s="4"/>
      <c r="G239" s="17"/>
      <c r="H239" s="4"/>
    </row>
  </sheetData>
  <mergeCells count="46">
    <mergeCell ref="AI8:AI10"/>
    <mergeCell ref="AA7:AA10"/>
    <mergeCell ref="AD7:AD10"/>
    <mergeCell ref="AF8:AF10"/>
    <mergeCell ref="AG8:AG10"/>
    <mergeCell ref="AH8:AH10"/>
    <mergeCell ref="A3:E3"/>
    <mergeCell ref="I8:I10"/>
    <mergeCell ref="I6:O7"/>
    <mergeCell ref="AS8:AS10"/>
    <mergeCell ref="Z9:Z10"/>
    <mergeCell ref="V9:V10"/>
    <mergeCell ref="X9:X10"/>
    <mergeCell ref="AO9:AO10"/>
    <mergeCell ref="AR9:AR10"/>
    <mergeCell ref="P6:AL6"/>
    <mergeCell ref="AM6:AS7"/>
    <mergeCell ref="P7:V8"/>
    <mergeCell ref="M9:M10"/>
    <mergeCell ref="N9:N10"/>
    <mergeCell ref="S9:S10"/>
    <mergeCell ref="U9:U10"/>
    <mergeCell ref="O8:O10"/>
    <mergeCell ref="J9:J10"/>
    <mergeCell ref="L9:L10"/>
    <mergeCell ref="Q9:Q10"/>
    <mergeCell ref="R9:R10"/>
    <mergeCell ref="P9:P10"/>
    <mergeCell ref="J8:M8"/>
    <mergeCell ref="K9:K10"/>
    <mergeCell ref="AP9:AP10"/>
    <mergeCell ref="AF7:AL7"/>
    <mergeCell ref="W7:Z8"/>
    <mergeCell ref="T9:T10"/>
    <mergeCell ref="AQ9:AQ10"/>
    <mergeCell ref="AM8:AM10"/>
    <mergeCell ref="AN9:AN10"/>
    <mergeCell ref="AE7:AE10"/>
    <mergeCell ref="AB7:AB10"/>
    <mergeCell ref="AC7:AC10"/>
    <mergeCell ref="AJ8:AJ10"/>
    <mergeCell ref="AK8:AK10"/>
    <mergeCell ref="AL8:AL10"/>
    <mergeCell ref="AN8:AQ8"/>
    <mergeCell ref="W9:W10"/>
    <mergeCell ref="Y9:Y1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S113"/>
  <sheetViews>
    <sheetView zoomScaleNormal="100" workbookViewId="0">
      <pane xSplit="8" ySplit="11" topLeftCell="AC12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ColWidth="9.140625" defaultRowHeight="15" x14ac:dyDescent="0.25"/>
  <cols>
    <col min="1" max="1" width="5.28515625" style="233" customWidth="1"/>
    <col min="2" max="2" width="7.140625" style="175" bestFit="1" customWidth="1"/>
    <col min="3" max="3" width="8.7109375" style="234" bestFit="1" customWidth="1"/>
    <col min="4" max="4" width="7.85546875" style="175" bestFit="1" customWidth="1"/>
    <col min="5" max="5" width="31.42578125" style="241" customWidth="1"/>
    <col min="6" max="6" width="6.42578125" style="234" customWidth="1"/>
    <col min="7" max="7" width="8" style="175" customWidth="1"/>
    <col min="8" max="8" width="10" style="175" customWidth="1"/>
    <col min="9" max="9" width="13.140625" style="239" customWidth="1"/>
    <col min="10" max="11" width="12.42578125" style="239" customWidth="1"/>
    <col min="12" max="12" width="12.28515625" style="239" customWidth="1"/>
    <col min="13" max="13" width="11.140625" style="239" customWidth="1"/>
    <col min="14" max="14" width="11.5703125" style="239" customWidth="1"/>
    <col min="15" max="15" width="12.85546875" style="701" customWidth="1"/>
    <col min="16" max="18" width="10.28515625" style="239" customWidth="1"/>
    <col min="19" max="19" width="10.42578125" style="239" customWidth="1"/>
    <col min="20" max="20" width="11.5703125" style="462" customWidth="1"/>
    <col min="21" max="21" width="8.85546875" style="239" customWidth="1"/>
    <col min="22" max="23" width="10.28515625" style="239" customWidth="1"/>
    <col min="24" max="24" width="11.140625" style="239" customWidth="1"/>
    <col min="25" max="26" width="10.28515625" style="239" customWidth="1"/>
    <col min="27" max="27" width="10" style="240" customWidth="1"/>
    <col min="28" max="28" width="9.28515625" style="240" customWidth="1"/>
    <col min="29" max="29" width="9.140625" style="239" customWidth="1"/>
    <col min="30" max="30" width="10" style="239" customWidth="1"/>
    <col min="31" max="31" width="9.7109375" style="239" customWidth="1"/>
    <col min="32" max="33" width="9.140625" style="240" customWidth="1"/>
    <col min="34" max="34" width="10.140625" style="240" customWidth="1"/>
    <col min="35" max="35" width="9.140625" style="240" customWidth="1"/>
    <col min="36" max="36" width="10.5703125" style="463" customWidth="1"/>
    <col min="37" max="37" width="9.85546875" style="240" customWidth="1"/>
    <col min="38" max="38" width="9.28515625" style="240" customWidth="1"/>
    <col min="39" max="39" width="12.7109375" style="240" customWidth="1"/>
    <col min="40" max="40" width="11.42578125" style="240" customWidth="1"/>
    <col min="41" max="42" width="10.85546875" style="240" customWidth="1"/>
    <col min="43" max="43" width="11.5703125" style="240" customWidth="1"/>
    <col min="44" max="44" width="11.85546875" style="240" customWidth="1"/>
    <col min="45" max="45" width="10.42578125" style="240" customWidth="1"/>
    <col min="46" max="46" width="9.140625" style="175" customWidth="1"/>
    <col min="47" max="16384" width="9.140625" style="175"/>
  </cols>
  <sheetData>
    <row r="1" spans="1:45" ht="12" customHeight="1" x14ac:dyDescent="0.25">
      <c r="A1" s="321" t="s">
        <v>2</v>
      </c>
      <c r="B1" s="321"/>
      <c r="C1" s="173"/>
      <c r="D1" s="321"/>
      <c r="E1" s="321"/>
      <c r="F1" s="174"/>
      <c r="G1" s="174"/>
      <c r="H1" s="174"/>
      <c r="AC1" s="48"/>
      <c r="AD1" s="48"/>
      <c r="AE1" s="48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12" customHeight="1" x14ac:dyDescent="0.25">
      <c r="A2" s="321" t="s">
        <v>3</v>
      </c>
      <c r="B2" s="321"/>
      <c r="C2" s="173"/>
      <c r="D2" s="321"/>
      <c r="E2" s="321"/>
      <c r="F2" s="174"/>
      <c r="G2" s="174"/>
      <c r="H2" s="174"/>
    </row>
    <row r="3" spans="1:45" ht="12" customHeight="1" x14ac:dyDescent="0.25">
      <c r="A3" s="997" t="s">
        <v>4</v>
      </c>
      <c r="B3" s="997"/>
      <c r="C3" s="997"/>
      <c r="D3" s="997"/>
      <c r="E3" s="997"/>
      <c r="F3" s="174"/>
      <c r="G3" s="174"/>
      <c r="H3" s="174"/>
      <c r="AD3" s="380"/>
    </row>
    <row r="4" spans="1:45" ht="12" customHeight="1" x14ac:dyDescent="0.25">
      <c r="A4" s="176"/>
      <c r="B4" s="321"/>
      <c r="C4" s="321"/>
      <c r="D4" s="321"/>
      <c r="E4" s="321"/>
      <c r="F4" s="174"/>
      <c r="G4" s="174"/>
      <c r="H4" s="174"/>
      <c r="I4" s="864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I5" s="864"/>
      <c r="J5" s="864"/>
      <c r="K5" s="864"/>
      <c r="L5" s="864"/>
      <c r="M5" s="864"/>
      <c r="N5" s="864"/>
      <c r="O5" s="865"/>
      <c r="P5" s="472"/>
      <c r="Q5" s="851" t="s">
        <v>815</v>
      </c>
      <c r="R5" s="47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472"/>
      <c r="AG5" s="851" t="s">
        <v>815</v>
      </c>
      <c r="AH5" s="472"/>
      <c r="AI5" s="50"/>
      <c r="AJ5" s="50"/>
      <c r="AK5" s="50"/>
      <c r="AL5" s="50"/>
      <c r="AO5" s="866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A7" s="176"/>
      <c r="B7" s="178"/>
      <c r="C7" s="60"/>
      <c r="D7" s="179"/>
      <c r="E7" s="178"/>
      <c r="F7" s="174"/>
      <c r="G7" s="174"/>
      <c r="H7" s="174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180"/>
      <c r="B8" s="181"/>
      <c r="C8" s="181"/>
      <c r="D8" s="181"/>
      <c r="E8" s="181"/>
      <c r="F8" s="181"/>
      <c r="G8" s="181"/>
      <c r="H8" s="181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36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19.5" customHeight="1" thickBot="1" x14ac:dyDescent="0.3">
      <c r="A9" s="182" t="s">
        <v>749</v>
      </c>
      <c r="B9" s="60"/>
      <c r="C9" s="60"/>
      <c r="D9" s="183"/>
      <c r="E9" s="60"/>
      <c r="F9" s="184"/>
      <c r="G9" s="185"/>
      <c r="H9" s="185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37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7" customHeight="1" thickBot="1" x14ac:dyDescent="0.3">
      <c r="A10" s="186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38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192" customFormat="1" ht="12" thickBot="1" x14ac:dyDescent="0.25">
      <c r="A11" s="1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868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ht="14.1" customHeight="1" x14ac:dyDescent="0.25">
      <c r="A12" s="193">
        <v>1</v>
      </c>
      <c r="B12" s="194">
        <v>4486</v>
      </c>
      <c r="C12" s="195">
        <v>600075176</v>
      </c>
      <c r="D12" s="195">
        <v>46750401</v>
      </c>
      <c r="E12" s="196" t="s">
        <v>287</v>
      </c>
      <c r="F12" s="194">
        <v>3233</v>
      </c>
      <c r="G12" s="197" t="s">
        <v>283</v>
      </c>
      <c r="H12" s="197" t="s">
        <v>263</v>
      </c>
      <c r="I12" s="579">
        <v>4804463</v>
      </c>
      <c r="J12" s="521">
        <v>3534364</v>
      </c>
      <c r="K12" s="521">
        <v>30000</v>
      </c>
      <c r="L12" s="745">
        <v>1204755</v>
      </c>
      <c r="M12" s="745">
        <v>35344</v>
      </c>
      <c r="N12" s="523">
        <v>0</v>
      </c>
      <c r="O12" s="779">
        <v>5.98</v>
      </c>
      <c r="P12" s="620">
        <f>W12*-1</f>
        <v>-20000</v>
      </c>
      <c r="Q12" s="523">
        <v>0</v>
      </c>
      <c r="R12" s="523">
        <v>0</v>
      </c>
      <c r="S12" s="523">
        <v>0</v>
      </c>
      <c r="T12" s="523">
        <v>0</v>
      </c>
      <c r="U12" s="523">
        <v>0</v>
      </c>
      <c r="V12" s="523">
        <f>P12+Q12+R12+S12+T12+U12</f>
        <v>-20000</v>
      </c>
      <c r="W12" s="523">
        <v>20000</v>
      </c>
      <c r="X12" s="523">
        <v>0</v>
      </c>
      <c r="Y12" s="523">
        <v>0</v>
      </c>
      <c r="Z12" s="523">
        <f>W12+X12+Y12</f>
        <v>20000</v>
      </c>
      <c r="AA12" s="523">
        <f>V12+Z12</f>
        <v>0</v>
      </c>
      <c r="AB12" s="621">
        <f>ROUND((V12+Z12)*33.8%,0)</f>
        <v>0</v>
      </c>
      <c r="AC12" s="621">
        <f>ROUND(V12*1%,0)</f>
        <v>-200</v>
      </c>
      <c r="AD12" s="523">
        <v>0</v>
      </c>
      <c r="AE12" s="789">
        <f>AA12+AB12+AC12+AD12</f>
        <v>-200</v>
      </c>
      <c r="AF12" s="792">
        <v>-3.9999999999999994E-2</v>
      </c>
      <c r="AG12" s="869">
        <v>0</v>
      </c>
      <c r="AH12" s="522">
        <v>0</v>
      </c>
      <c r="AI12" s="522">
        <v>0</v>
      </c>
      <c r="AJ12" s="522">
        <v>0</v>
      </c>
      <c r="AK12" s="522">
        <v>0</v>
      </c>
      <c r="AL12" s="608">
        <f>SUM(AF12:AK12)</f>
        <v>-3.9999999999999994E-2</v>
      </c>
      <c r="AM12" s="620">
        <f>I12+AE12</f>
        <v>4804263</v>
      </c>
      <c r="AN12" s="523">
        <f>J12+V12</f>
        <v>3514364</v>
      </c>
      <c r="AO12" s="573">
        <f>K12+Z12</f>
        <v>50000</v>
      </c>
      <c r="AP12" s="523">
        <f>L12+AB12</f>
        <v>1204755</v>
      </c>
      <c r="AQ12" s="523">
        <f>M12+AC12</f>
        <v>35144</v>
      </c>
      <c r="AR12" s="523">
        <f>N12+AD12</f>
        <v>0</v>
      </c>
      <c r="AS12" s="608">
        <f>O12+AL12</f>
        <v>5.94</v>
      </c>
    </row>
    <row r="13" spans="1:45" ht="12.95" customHeight="1" x14ac:dyDescent="0.25">
      <c r="A13" s="198">
        <v>1</v>
      </c>
      <c r="B13" s="199">
        <v>4486</v>
      </c>
      <c r="C13" s="200">
        <v>600075176</v>
      </c>
      <c r="D13" s="200">
        <v>46750401</v>
      </c>
      <c r="E13" s="201" t="s">
        <v>288</v>
      </c>
      <c r="F13" s="202"/>
      <c r="G13" s="203"/>
      <c r="H13" s="203"/>
      <c r="I13" s="668">
        <v>4804463</v>
      </c>
      <c r="J13" s="355">
        <v>3534364</v>
      </c>
      <c r="K13" s="355">
        <v>30000</v>
      </c>
      <c r="L13" s="355">
        <v>1204755</v>
      </c>
      <c r="M13" s="355">
        <v>35344</v>
      </c>
      <c r="N13" s="355">
        <v>0</v>
      </c>
      <c r="O13" s="780">
        <v>5.98</v>
      </c>
      <c r="P13" s="668">
        <f t="shared" ref="P13:AS13" si="0">SUM(P12)</f>
        <v>-20000</v>
      </c>
      <c r="Q13" s="355">
        <f t="shared" si="0"/>
        <v>0</v>
      </c>
      <c r="R13" s="355">
        <f t="shared" si="0"/>
        <v>0</v>
      </c>
      <c r="S13" s="355">
        <f t="shared" si="0"/>
        <v>0</v>
      </c>
      <c r="T13" s="355">
        <f t="shared" si="0"/>
        <v>0</v>
      </c>
      <c r="U13" s="355">
        <f t="shared" si="0"/>
        <v>0</v>
      </c>
      <c r="V13" s="355">
        <f t="shared" si="0"/>
        <v>-20000</v>
      </c>
      <c r="W13" s="355">
        <f t="shared" si="0"/>
        <v>20000</v>
      </c>
      <c r="X13" s="355">
        <f t="shared" si="0"/>
        <v>0</v>
      </c>
      <c r="Y13" s="355">
        <f t="shared" si="0"/>
        <v>0</v>
      </c>
      <c r="Z13" s="355">
        <f t="shared" si="0"/>
        <v>20000</v>
      </c>
      <c r="AA13" s="355">
        <f t="shared" si="0"/>
        <v>0</v>
      </c>
      <c r="AB13" s="355">
        <f t="shared" si="0"/>
        <v>0</v>
      </c>
      <c r="AC13" s="355">
        <f t="shared" si="0"/>
        <v>-200</v>
      </c>
      <c r="AD13" s="355">
        <f t="shared" si="0"/>
        <v>0</v>
      </c>
      <c r="AE13" s="665">
        <f t="shared" si="0"/>
        <v>-200</v>
      </c>
      <c r="AF13" s="793">
        <f t="shared" si="0"/>
        <v>-3.9999999999999994E-2</v>
      </c>
      <c r="AG13" s="870">
        <f t="shared" si="0"/>
        <v>0</v>
      </c>
      <c r="AH13" s="356">
        <f t="shared" si="0"/>
        <v>0</v>
      </c>
      <c r="AI13" s="356">
        <f t="shared" si="0"/>
        <v>0</v>
      </c>
      <c r="AJ13" s="356">
        <f t="shared" si="0"/>
        <v>0</v>
      </c>
      <c r="AK13" s="356">
        <f t="shared" si="0"/>
        <v>0</v>
      </c>
      <c r="AL13" s="253">
        <f t="shared" si="0"/>
        <v>-3.9999999999999994E-2</v>
      </c>
      <c r="AM13" s="668">
        <f t="shared" si="0"/>
        <v>4804263</v>
      </c>
      <c r="AN13" s="355">
        <f t="shared" si="0"/>
        <v>3514364</v>
      </c>
      <c r="AO13" s="355">
        <f t="shared" si="0"/>
        <v>50000</v>
      </c>
      <c r="AP13" s="355">
        <f t="shared" si="0"/>
        <v>1204755</v>
      </c>
      <c r="AQ13" s="355">
        <f t="shared" si="0"/>
        <v>35144</v>
      </c>
      <c r="AR13" s="355">
        <f t="shared" si="0"/>
        <v>0</v>
      </c>
      <c r="AS13" s="253">
        <f t="shared" si="0"/>
        <v>5.94</v>
      </c>
    </row>
    <row r="14" spans="1:45" ht="12.95" customHeight="1" x14ac:dyDescent="0.25">
      <c r="A14" s="206">
        <v>2</v>
      </c>
      <c r="B14" s="206">
        <v>4419</v>
      </c>
      <c r="C14" s="393">
        <v>600074056</v>
      </c>
      <c r="D14" s="206">
        <v>72744049</v>
      </c>
      <c r="E14" s="248" t="s">
        <v>289</v>
      </c>
      <c r="F14" s="206">
        <v>3111</v>
      </c>
      <c r="G14" s="209" t="s">
        <v>290</v>
      </c>
      <c r="H14" s="210" t="s">
        <v>262</v>
      </c>
      <c r="I14" s="580">
        <v>24893233</v>
      </c>
      <c r="J14" s="490">
        <v>18466790</v>
      </c>
      <c r="K14" s="554">
        <v>0</v>
      </c>
      <c r="L14" s="431">
        <v>6241775</v>
      </c>
      <c r="M14" s="431">
        <v>184668</v>
      </c>
      <c r="N14" s="325">
        <v>0</v>
      </c>
      <c r="O14" s="719">
        <v>31.5</v>
      </c>
      <c r="P14" s="327">
        <f>W14*-1</f>
        <v>0</v>
      </c>
      <c r="Q14" s="492">
        <v>0</v>
      </c>
      <c r="R14" s="325">
        <v>0</v>
      </c>
      <c r="S14" s="325">
        <v>0</v>
      </c>
      <c r="T14" s="325">
        <v>0</v>
      </c>
      <c r="U14" s="325">
        <v>0</v>
      </c>
      <c r="V14" s="492">
        <f>P14+Q14+R14+S14+T14+U14</f>
        <v>0</v>
      </c>
      <c r="W14" s="325">
        <v>0</v>
      </c>
      <c r="X14" s="325">
        <v>0</v>
      </c>
      <c r="Y14" s="325">
        <v>0</v>
      </c>
      <c r="Z14" s="492">
        <f>W14+X14+Y14</f>
        <v>0</v>
      </c>
      <c r="AA14" s="492">
        <f>V14+Z14</f>
        <v>0</v>
      </c>
      <c r="AB14" s="494">
        <f>ROUND((V14+Z14)*33.8%,0)</f>
        <v>0</v>
      </c>
      <c r="AC14" s="494">
        <f>ROUND(V14*1%,0)</f>
        <v>0</v>
      </c>
      <c r="AD14" s="492">
        <v>0</v>
      </c>
      <c r="AE14" s="753">
        <f t="shared" ref="AE14:AE16" si="1">AA14+AB14+AC14+AD14</f>
        <v>0</v>
      </c>
      <c r="AF14" s="688">
        <v>0</v>
      </c>
      <c r="AG14" s="871">
        <v>0</v>
      </c>
      <c r="AH14" s="326">
        <v>0</v>
      </c>
      <c r="AI14" s="326">
        <v>0</v>
      </c>
      <c r="AJ14" s="326">
        <v>0</v>
      </c>
      <c r="AK14" s="326">
        <v>0</v>
      </c>
      <c r="AL14" s="609">
        <f>SUM(AF14:AK14)</f>
        <v>0</v>
      </c>
      <c r="AM14" s="676">
        <f>I14+AE14</f>
        <v>24893233</v>
      </c>
      <c r="AN14" s="492">
        <f>J14+V14</f>
        <v>18466790</v>
      </c>
      <c r="AO14" s="573">
        <f>K14+Z14</f>
        <v>0</v>
      </c>
      <c r="AP14" s="492">
        <f t="shared" ref="AP14:AR16" si="2">L14+AB14</f>
        <v>6241775</v>
      </c>
      <c r="AQ14" s="492">
        <f t="shared" si="2"/>
        <v>184668</v>
      </c>
      <c r="AR14" s="492">
        <f t="shared" si="2"/>
        <v>0</v>
      </c>
      <c r="AS14" s="609">
        <f>O14+AL14</f>
        <v>31.5</v>
      </c>
    </row>
    <row r="15" spans="1:45" ht="12.95" customHeight="1" x14ac:dyDescent="0.25">
      <c r="A15" s="206">
        <v>2</v>
      </c>
      <c r="B15" s="206">
        <v>4419</v>
      </c>
      <c r="C15" s="393">
        <v>600074056</v>
      </c>
      <c r="D15" s="206">
        <v>72744049</v>
      </c>
      <c r="E15" s="248" t="s">
        <v>289</v>
      </c>
      <c r="F15" s="206">
        <v>3111</v>
      </c>
      <c r="G15" s="211" t="s">
        <v>279</v>
      </c>
      <c r="H15" s="210" t="s">
        <v>262</v>
      </c>
      <c r="I15" s="580">
        <v>1148949</v>
      </c>
      <c r="J15" s="490">
        <v>852336</v>
      </c>
      <c r="K15" s="554">
        <v>0</v>
      </c>
      <c r="L15" s="431">
        <v>288090</v>
      </c>
      <c r="M15" s="431">
        <v>8523</v>
      </c>
      <c r="N15" s="325">
        <v>0</v>
      </c>
      <c r="O15" s="719">
        <v>2</v>
      </c>
      <c r="P15" s="327">
        <f>W15*-1</f>
        <v>0</v>
      </c>
      <c r="Q15" s="492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>P15+Q15+R15+S15+T15+U15</f>
        <v>0</v>
      </c>
      <c r="W15" s="325">
        <v>0</v>
      </c>
      <c r="X15" s="325">
        <v>0</v>
      </c>
      <c r="Y15" s="325">
        <v>0</v>
      </c>
      <c r="Z15" s="492">
        <f>W15+X15+Y15</f>
        <v>0</v>
      </c>
      <c r="AA15" s="492">
        <f>V15+Z15</f>
        <v>0</v>
      </c>
      <c r="AB15" s="494">
        <f>ROUND((V15+Z15)*33.8%,0)</f>
        <v>0</v>
      </c>
      <c r="AC15" s="494">
        <f>ROUND(V15*1%,0)</f>
        <v>0</v>
      </c>
      <c r="AD15" s="492">
        <v>0</v>
      </c>
      <c r="AE15" s="753">
        <f t="shared" si="1"/>
        <v>0</v>
      </c>
      <c r="AF15" s="688">
        <v>0</v>
      </c>
      <c r="AG15" s="871">
        <v>0</v>
      </c>
      <c r="AH15" s="326">
        <v>0</v>
      </c>
      <c r="AI15" s="326">
        <v>0</v>
      </c>
      <c r="AJ15" s="326">
        <v>0</v>
      </c>
      <c r="AK15" s="326">
        <v>0</v>
      </c>
      <c r="AL15" s="609">
        <f>SUM(AF15:AK15)</f>
        <v>0</v>
      </c>
      <c r="AM15" s="676">
        <f>I15+AE15</f>
        <v>1148949</v>
      </c>
      <c r="AN15" s="492">
        <f>J15+V15</f>
        <v>852336</v>
      </c>
      <c r="AO15" s="573">
        <f>K15+Z15</f>
        <v>0</v>
      </c>
      <c r="AP15" s="492">
        <f t="shared" si="2"/>
        <v>288090</v>
      </c>
      <c r="AQ15" s="492">
        <f t="shared" si="2"/>
        <v>8523</v>
      </c>
      <c r="AR15" s="492">
        <f t="shared" si="2"/>
        <v>0</v>
      </c>
      <c r="AS15" s="609">
        <f>O15+AL15</f>
        <v>2</v>
      </c>
    </row>
    <row r="16" spans="1:45" ht="12.95" customHeight="1" x14ac:dyDescent="0.25">
      <c r="A16" s="206">
        <v>2</v>
      </c>
      <c r="B16" s="206">
        <v>4419</v>
      </c>
      <c r="C16" s="393">
        <v>600074056</v>
      </c>
      <c r="D16" s="206">
        <v>72744049</v>
      </c>
      <c r="E16" s="248" t="s">
        <v>289</v>
      </c>
      <c r="F16" s="206">
        <v>3111</v>
      </c>
      <c r="G16" s="209" t="s">
        <v>284</v>
      </c>
      <c r="H16" s="210" t="s">
        <v>263</v>
      </c>
      <c r="I16" s="580">
        <v>2438380</v>
      </c>
      <c r="J16" s="490">
        <v>1808887</v>
      </c>
      <c r="K16" s="554">
        <v>0</v>
      </c>
      <c r="L16" s="431">
        <v>611404</v>
      </c>
      <c r="M16" s="431">
        <v>18089</v>
      </c>
      <c r="N16" s="325">
        <v>0</v>
      </c>
      <c r="O16" s="719">
        <v>5.05</v>
      </c>
      <c r="P16" s="327">
        <f>W16*-1</f>
        <v>0</v>
      </c>
      <c r="Q16" s="492">
        <f>184955-184955</f>
        <v>0</v>
      </c>
      <c r="R16" s="325">
        <v>0</v>
      </c>
      <c r="S16" s="325">
        <v>0</v>
      </c>
      <c r="T16" s="325">
        <v>0</v>
      </c>
      <c r="U16" s="325">
        <v>0</v>
      </c>
      <c r="V16" s="492">
        <f>P16+Q16+R16+S16+T16+U16</f>
        <v>0</v>
      </c>
      <c r="W16" s="325">
        <v>0</v>
      </c>
      <c r="X16" s="325">
        <v>0</v>
      </c>
      <c r="Y16" s="325">
        <v>0</v>
      </c>
      <c r="Z16" s="492">
        <f>W16+X16+Y16</f>
        <v>0</v>
      </c>
      <c r="AA16" s="492">
        <f>V16+Z16</f>
        <v>0</v>
      </c>
      <c r="AB16" s="494">
        <f>ROUND((V16+Z16)*33.8%,0)</f>
        <v>0</v>
      </c>
      <c r="AC16" s="494">
        <f>ROUND(V16*1%,0)</f>
        <v>0</v>
      </c>
      <c r="AD16" s="492">
        <v>0</v>
      </c>
      <c r="AE16" s="753">
        <f t="shared" si="1"/>
        <v>0</v>
      </c>
      <c r="AF16" s="688">
        <v>0</v>
      </c>
      <c r="AG16" s="871">
        <f>0.63-0.63</f>
        <v>0</v>
      </c>
      <c r="AH16" s="326">
        <v>0</v>
      </c>
      <c r="AI16" s="326">
        <v>0</v>
      </c>
      <c r="AJ16" s="326">
        <v>0</v>
      </c>
      <c r="AK16" s="326">
        <v>0</v>
      </c>
      <c r="AL16" s="609">
        <f>SUM(AF16:AK16)</f>
        <v>0</v>
      </c>
      <c r="AM16" s="676">
        <f>I16+AE16</f>
        <v>2438380</v>
      </c>
      <c r="AN16" s="492">
        <f>J16+V16</f>
        <v>1808887</v>
      </c>
      <c r="AO16" s="573">
        <f>K16+Z16</f>
        <v>0</v>
      </c>
      <c r="AP16" s="492">
        <f t="shared" si="2"/>
        <v>611404</v>
      </c>
      <c r="AQ16" s="492">
        <f t="shared" si="2"/>
        <v>18089</v>
      </c>
      <c r="AR16" s="492">
        <f t="shared" si="2"/>
        <v>0</v>
      </c>
      <c r="AS16" s="609">
        <f>O16+AL16</f>
        <v>5.05</v>
      </c>
    </row>
    <row r="17" spans="1:45" ht="12.95" customHeight="1" x14ac:dyDescent="0.25">
      <c r="A17" s="394">
        <v>2</v>
      </c>
      <c r="B17" s="395">
        <v>4419</v>
      </c>
      <c r="C17" s="396">
        <v>600074056</v>
      </c>
      <c r="D17" s="395">
        <v>72744049</v>
      </c>
      <c r="E17" s="397" t="s">
        <v>291</v>
      </c>
      <c r="F17" s="200"/>
      <c r="G17" s="214"/>
      <c r="H17" s="214"/>
      <c r="I17" s="670">
        <v>28480562</v>
      </c>
      <c r="J17" s="353">
        <v>21128013</v>
      </c>
      <c r="K17" s="353">
        <v>0</v>
      </c>
      <c r="L17" s="353">
        <v>7141269</v>
      </c>
      <c r="M17" s="353">
        <v>211280</v>
      </c>
      <c r="N17" s="353">
        <v>0</v>
      </c>
      <c r="O17" s="781">
        <v>38.549999999999997</v>
      </c>
      <c r="P17" s="670">
        <f t="shared" ref="P17:AS17" si="3">SUM(P14:P16)</f>
        <v>0</v>
      </c>
      <c r="Q17" s="353">
        <f t="shared" si="3"/>
        <v>0</v>
      </c>
      <c r="R17" s="353">
        <f t="shared" si="3"/>
        <v>0</v>
      </c>
      <c r="S17" s="353">
        <f t="shared" si="3"/>
        <v>0</v>
      </c>
      <c r="T17" s="353">
        <f t="shared" si="3"/>
        <v>0</v>
      </c>
      <c r="U17" s="353">
        <f t="shared" si="3"/>
        <v>0</v>
      </c>
      <c r="V17" s="353">
        <f t="shared" si="3"/>
        <v>0</v>
      </c>
      <c r="W17" s="353">
        <f t="shared" si="3"/>
        <v>0</v>
      </c>
      <c r="X17" s="353">
        <f t="shared" si="3"/>
        <v>0</v>
      </c>
      <c r="Y17" s="353">
        <f t="shared" si="3"/>
        <v>0</v>
      </c>
      <c r="Z17" s="353">
        <f t="shared" si="3"/>
        <v>0</v>
      </c>
      <c r="AA17" s="353">
        <f t="shared" si="3"/>
        <v>0</v>
      </c>
      <c r="AB17" s="353">
        <f t="shared" si="3"/>
        <v>0</v>
      </c>
      <c r="AC17" s="353">
        <f t="shared" si="3"/>
        <v>0</v>
      </c>
      <c r="AD17" s="353">
        <f t="shared" si="3"/>
        <v>0</v>
      </c>
      <c r="AE17" s="667">
        <f t="shared" si="3"/>
        <v>0</v>
      </c>
      <c r="AF17" s="794">
        <v>0</v>
      </c>
      <c r="AG17" s="872">
        <f t="shared" si="3"/>
        <v>0</v>
      </c>
      <c r="AH17" s="354">
        <f t="shared" si="3"/>
        <v>0</v>
      </c>
      <c r="AI17" s="354">
        <f t="shared" si="3"/>
        <v>0</v>
      </c>
      <c r="AJ17" s="354">
        <f t="shared" si="3"/>
        <v>0</v>
      </c>
      <c r="AK17" s="354">
        <f t="shared" si="3"/>
        <v>0</v>
      </c>
      <c r="AL17" s="215">
        <f t="shared" si="3"/>
        <v>0</v>
      </c>
      <c r="AM17" s="670">
        <f t="shared" si="3"/>
        <v>28480562</v>
      </c>
      <c r="AN17" s="353">
        <f t="shared" si="3"/>
        <v>21128013</v>
      </c>
      <c r="AO17" s="353">
        <f t="shared" si="3"/>
        <v>0</v>
      </c>
      <c r="AP17" s="353">
        <f t="shared" si="3"/>
        <v>7141269</v>
      </c>
      <c r="AQ17" s="353">
        <f t="shared" si="3"/>
        <v>211280</v>
      </c>
      <c r="AR17" s="353">
        <f t="shared" si="3"/>
        <v>0</v>
      </c>
      <c r="AS17" s="215">
        <f t="shared" si="3"/>
        <v>38.549999999999997</v>
      </c>
    </row>
    <row r="18" spans="1:45" ht="12.95" customHeight="1" x14ac:dyDescent="0.25">
      <c r="A18" s="205">
        <v>3</v>
      </c>
      <c r="B18" s="206">
        <v>4464</v>
      </c>
      <c r="C18" s="206" t="s">
        <v>292</v>
      </c>
      <c r="D18" s="206">
        <v>46750461</v>
      </c>
      <c r="E18" s="208" t="s">
        <v>293</v>
      </c>
      <c r="F18" s="206">
        <v>3113</v>
      </c>
      <c r="G18" s="209" t="s">
        <v>294</v>
      </c>
      <c r="H18" s="209" t="s">
        <v>262</v>
      </c>
      <c r="I18" s="580">
        <v>33121178</v>
      </c>
      <c r="J18" s="490">
        <v>24424902</v>
      </c>
      <c r="K18" s="554">
        <v>146794</v>
      </c>
      <c r="L18" s="431">
        <v>8305233</v>
      </c>
      <c r="M18" s="431">
        <v>244249</v>
      </c>
      <c r="N18" s="325">
        <v>0</v>
      </c>
      <c r="O18" s="719">
        <v>33.213000000000001</v>
      </c>
      <c r="P18" s="327">
        <f>W18*-1</f>
        <v>-28000</v>
      </c>
      <c r="Q18" s="492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>P18+Q18+R18+S18+T18+U18</f>
        <v>-28000</v>
      </c>
      <c r="W18" s="325">
        <v>28000</v>
      </c>
      <c r="X18" s="325">
        <v>0</v>
      </c>
      <c r="Y18" s="325">
        <v>0</v>
      </c>
      <c r="Z18" s="492">
        <f>W18+X18+Y18</f>
        <v>28000</v>
      </c>
      <c r="AA18" s="492">
        <f>V18+Z18</f>
        <v>0</v>
      </c>
      <c r="AB18" s="494">
        <f>ROUND((V18+Z18)*33.8%,0)</f>
        <v>0</v>
      </c>
      <c r="AC18" s="494">
        <f>ROUND(V18*1%,0)</f>
        <v>-280</v>
      </c>
      <c r="AD18" s="492">
        <v>0</v>
      </c>
      <c r="AE18" s="753">
        <f t="shared" ref="AE18:AE20" si="4">AA18+AB18+AC18+AD18</f>
        <v>-280</v>
      </c>
      <c r="AF18" s="688">
        <v>-4.0000000000000008E-2</v>
      </c>
      <c r="AG18" s="871">
        <v>0</v>
      </c>
      <c r="AH18" s="326">
        <v>0</v>
      </c>
      <c r="AI18" s="326">
        <v>0</v>
      </c>
      <c r="AJ18" s="326">
        <v>0</v>
      </c>
      <c r="AK18" s="326">
        <v>0</v>
      </c>
      <c r="AL18" s="609">
        <f>SUM(AF18:AK18)</f>
        <v>-4.0000000000000008E-2</v>
      </c>
      <c r="AM18" s="676">
        <f>I18+AE18</f>
        <v>33120898</v>
      </c>
      <c r="AN18" s="492">
        <f>J18+V18</f>
        <v>24396902</v>
      </c>
      <c r="AO18" s="573">
        <f>K18+Z18</f>
        <v>174794</v>
      </c>
      <c r="AP18" s="492">
        <f t="shared" ref="AP18:AR20" si="5">L18+AB18</f>
        <v>8305233</v>
      </c>
      <c r="AQ18" s="492">
        <f t="shared" si="5"/>
        <v>243969</v>
      </c>
      <c r="AR18" s="492">
        <f t="shared" si="5"/>
        <v>0</v>
      </c>
      <c r="AS18" s="609">
        <f>O18+AL18</f>
        <v>33.173000000000002</v>
      </c>
    </row>
    <row r="19" spans="1:45" ht="12.95" customHeight="1" x14ac:dyDescent="0.25">
      <c r="A19" s="205">
        <v>3</v>
      </c>
      <c r="B19" s="206">
        <v>4464</v>
      </c>
      <c r="C19" s="206" t="s">
        <v>292</v>
      </c>
      <c r="D19" s="206">
        <v>46750461</v>
      </c>
      <c r="E19" s="208" t="s">
        <v>295</v>
      </c>
      <c r="F19" s="206">
        <v>3113</v>
      </c>
      <c r="G19" s="209" t="s">
        <v>284</v>
      </c>
      <c r="H19" s="209" t="s">
        <v>263</v>
      </c>
      <c r="I19" s="580">
        <v>1239909</v>
      </c>
      <c r="J19" s="490">
        <v>919814</v>
      </c>
      <c r="K19" s="554">
        <v>0</v>
      </c>
      <c r="L19" s="431">
        <v>310897</v>
      </c>
      <c r="M19" s="431">
        <v>9198</v>
      </c>
      <c r="N19" s="325">
        <v>0</v>
      </c>
      <c r="O19" s="719">
        <v>2.42</v>
      </c>
      <c r="P19" s="327">
        <f>W19*-1</f>
        <v>0</v>
      </c>
      <c r="Q19" s="492">
        <v>0</v>
      </c>
      <c r="R19" s="325">
        <v>0</v>
      </c>
      <c r="S19" s="325">
        <v>0</v>
      </c>
      <c r="T19" s="325">
        <v>0</v>
      </c>
      <c r="U19" s="325">
        <v>0</v>
      </c>
      <c r="V19" s="492">
        <f>P19+Q19+R19+S19+T19+U19</f>
        <v>0</v>
      </c>
      <c r="W19" s="325">
        <v>0</v>
      </c>
      <c r="X19" s="325">
        <v>0</v>
      </c>
      <c r="Y19" s="325">
        <v>0</v>
      </c>
      <c r="Z19" s="492">
        <f>W19+X19+Y19</f>
        <v>0</v>
      </c>
      <c r="AA19" s="492">
        <f>V19+Z19</f>
        <v>0</v>
      </c>
      <c r="AB19" s="494">
        <f>ROUND((V19+Z19)*33.8%,0)</f>
        <v>0</v>
      </c>
      <c r="AC19" s="494">
        <f>ROUND(V19*1%,0)</f>
        <v>0</v>
      </c>
      <c r="AD19" s="492">
        <v>0</v>
      </c>
      <c r="AE19" s="753">
        <f t="shared" si="4"/>
        <v>0</v>
      </c>
      <c r="AF19" s="688">
        <v>0</v>
      </c>
      <c r="AG19" s="871">
        <v>0</v>
      </c>
      <c r="AH19" s="326">
        <v>0</v>
      </c>
      <c r="AI19" s="326">
        <v>0</v>
      </c>
      <c r="AJ19" s="326">
        <v>0</v>
      </c>
      <c r="AK19" s="326">
        <v>0</v>
      </c>
      <c r="AL19" s="609">
        <f>SUM(AF19:AK19)</f>
        <v>0</v>
      </c>
      <c r="AM19" s="676">
        <f>I19+AE19</f>
        <v>1239909</v>
      </c>
      <c r="AN19" s="492">
        <f>J19+V19</f>
        <v>919814</v>
      </c>
      <c r="AO19" s="573">
        <f>K19+Z19</f>
        <v>0</v>
      </c>
      <c r="AP19" s="492">
        <f t="shared" si="5"/>
        <v>310897</v>
      </c>
      <c r="AQ19" s="492">
        <f t="shared" si="5"/>
        <v>9198</v>
      </c>
      <c r="AR19" s="492">
        <f t="shared" si="5"/>
        <v>0</v>
      </c>
      <c r="AS19" s="609">
        <f>O19+AL19</f>
        <v>2.42</v>
      </c>
    </row>
    <row r="20" spans="1:45" ht="12.95" customHeight="1" x14ac:dyDescent="0.25">
      <c r="A20" s="205">
        <v>3</v>
      </c>
      <c r="B20" s="206">
        <v>4464</v>
      </c>
      <c r="C20" s="206" t="s">
        <v>292</v>
      </c>
      <c r="D20" s="206">
        <v>46750461</v>
      </c>
      <c r="E20" s="208" t="s">
        <v>295</v>
      </c>
      <c r="F20" s="206">
        <v>3143</v>
      </c>
      <c r="G20" s="209" t="s">
        <v>794</v>
      </c>
      <c r="H20" s="209" t="s">
        <v>262</v>
      </c>
      <c r="I20" s="580">
        <v>3811805</v>
      </c>
      <c r="J20" s="490">
        <v>2809882</v>
      </c>
      <c r="K20" s="554">
        <v>18000</v>
      </c>
      <c r="L20" s="431">
        <v>955824</v>
      </c>
      <c r="M20" s="431">
        <v>28099</v>
      </c>
      <c r="N20" s="325">
        <v>0</v>
      </c>
      <c r="O20" s="719">
        <v>5.0286999999999997</v>
      </c>
      <c r="P20" s="327">
        <f>W20*-1</f>
        <v>-12000</v>
      </c>
      <c r="Q20" s="492">
        <v>0</v>
      </c>
      <c r="R20" s="325">
        <v>0</v>
      </c>
      <c r="S20" s="325">
        <v>0</v>
      </c>
      <c r="T20" s="325">
        <v>0</v>
      </c>
      <c r="U20" s="325">
        <v>0</v>
      </c>
      <c r="V20" s="492">
        <f>P20+Q20+R20+S20+T20+U20</f>
        <v>-12000</v>
      </c>
      <c r="W20" s="325">
        <v>12000</v>
      </c>
      <c r="X20" s="325">
        <v>0</v>
      </c>
      <c r="Y20" s="325">
        <v>0</v>
      </c>
      <c r="Z20" s="492">
        <f>W20+X20+Y20</f>
        <v>12000</v>
      </c>
      <c r="AA20" s="492">
        <f>V20+Z20</f>
        <v>0</v>
      </c>
      <c r="AB20" s="494">
        <f>ROUND((V20+Z20)*33.8%,0)</f>
        <v>0</v>
      </c>
      <c r="AC20" s="494">
        <f>ROUND(V20*1%,0)</f>
        <v>-120</v>
      </c>
      <c r="AD20" s="492">
        <v>0</v>
      </c>
      <c r="AE20" s="753">
        <f t="shared" si="4"/>
        <v>-120</v>
      </c>
      <c r="AF20" s="688">
        <v>0</v>
      </c>
      <c r="AG20" s="871">
        <v>0</v>
      </c>
      <c r="AH20" s="326">
        <v>0</v>
      </c>
      <c r="AI20" s="326">
        <v>0</v>
      </c>
      <c r="AJ20" s="326">
        <v>0</v>
      </c>
      <c r="AK20" s="326">
        <v>0</v>
      </c>
      <c r="AL20" s="609">
        <f>SUM(AF20:AK20)</f>
        <v>0</v>
      </c>
      <c r="AM20" s="676">
        <f>I20+AE20</f>
        <v>3811685</v>
      </c>
      <c r="AN20" s="492">
        <f>J20+V20</f>
        <v>2797882</v>
      </c>
      <c r="AO20" s="573">
        <f>K20+Z20</f>
        <v>30000</v>
      </c>
      <c r="AP20" s="492">
        <f t="shared" si="5"/>
        <v>955824</v>
      </c>
      <c r="AQ20" s="492">
        <f t="shared" si="5"/>
        <v>27979</v>
      </c>
      <c r="AR20" s="492">
        <f t="shared" si="5"/>
        <v>0</v>
      </c>
      <c r="AS20" s="609">
        <f>O20+AL20</f>
        <v>5.0286999999999997</v>
      </c>
    </row>
    <row r="21" spans="1:45" ht="12.95" customHeight="1" x14ac:dyDescent="0.25">
      <c r="A21" s="198">
        <v>3</v>
      </c>
      <c r="B21" s="200">
        <v>4464</v>
      </c>
      <c r="C21" s="200" t="s">
        <v>292</v>
      </c>
      <c r="D21" s="200">
        <v>46750461</v>
      </c>
      <c r="E21" s="213" t="s">
        <v>296</v>
      </c>
      <c r="F21" s="200"/>
      <c r="G21" s="214"/>
      <c r="H21" s="214"/>
      <c r="I21" s="670">
        <v>38172892</v>
      </c>
      <c r="J21" s="353">
        <v>28154598</v>
      </c>
      <c r="K21" s="353">
        <v>164794</v>
      </c>
      <c r="L21" s="353">
        <v>9571954</v>
      </c>
      <c r="M21" s="353">
        <v>281546</v>
      </c>
      <c r="N21" s="353">
        <v>0</v>
      </c>
      <c r="O21" s="781">
        <v>40.661700000000003</v>
      </c>
      <c r="P21" s="670">
        <f t="shared" ref="P21:AS21" si="6">SUM(P18:P20)</f>
        <v>-40000</v>
      </c>
      <c r="Q21" s="353">
        <f t="shared" si="6"/>
        <v>0</v>
      </c>
      <c r="R21" s="353">
        <f t="shared" si="6"/>
        <v>0</v>
      </c>
      <c r="S21" s="353">
        <f t="shared" si="6"/>
        <v>0</v>
      </c>
      <c r="T21" s="353">
        <f t="shared" si="6"/>
        <v>0</v>
      </c>
      <c r="U21" s="353">
        <f t="shared" si="6"/>
        <v>0</v>
      </c>
      <c r="V21" s="353">
        <f t="shared" si="6"/>
        <v>-40000</v>
      </c>
      <c r="W21" s="353">
        <f t="shared" si="6"/>
        <v>40000</v>
      </c>
      <c r="X21" s="353">
        <f t="shared" si="6"/>
        <v>0</v>
      </c>
      <c r="Y21" s="353">
        <f t="shared" si="6"/>
        <v>0</v>
      </c>
      <c r="Z21" s="353">
        <f t="shared" si="6"/>
        <v>40000</v>
      </c>
      <c r="AA21" s="353">
        <f t="shared" si="6"/>
        <v>0</v>
      </c>
      <c r="AB21" s="353">
        <f t="shared" si="6"/>
        <v>0</v>
      </c>
      <c r="AC21" s="353">
        <f t="shared" si="6"/>
        <v>-400</v>
      </c>
      <c r="AD21" s="353">
        <f t="shared" si="6"/>
        <v>0</v>
      </c>
      <c r="AE21" s="667">
        <f t="shared" si="6"/>
        <v>-400</v>
      </c>
      <c r="AF21" s="794">
        <f t="shared" si="6"/>
        <v>-4.0000000000000008E-2</v>
      </c>
      <c r="AG21" s="872">
        <f t="shared" si="6"/>
        <v>0</v>
      </c>
      <c r="AH21" s="354">
        <f t="shared" si="6"/>
        <v>0</v>
      </c>
      <c r="AI21" s="354">
        <f t="shared" si="6"/>
        <v>0</v>
      </c>
      <c r="AJ21" s="354">
        <f t="shared" si="6"/>
        <v>0</v>
      </c>
      <c r="AK21" s="354">
        <f t="shared" si="6"/>
        <v>0</v>
      </c>
      <c r="AL21" s="215">
        <f t="shared" si="6"/>
        <v>-4.0000000000000008E-2</v>
      </c>
      <c r="AM21" s="670">
        <f t="shared" si="6"/>
        <v>38172492</v>
      </c>
      <c r="AN21" s="353">
        <f t="shared" si="6"/>
        <v>28114598</v>
      </c>
      <c r="AO21" s="353">
        <f t="shared" si="6"/>
        <v>204794</v>
      </c>
      <c r="AP21" s="353">
        <f t="shared" si="6"/>
        <v>9571954</v>
      </c>
      <c r="AQ21" s="353">
        <f t="shared" si="6"/>
        <v>281146</v>
      </c>
      <c r="AR21" s="353">
        <f t="shared" si="6"/>
        <v>0</v>
      </c>
      <c r="AS21" s="215">
        <f t="shared" si="6"/>
        <v>40.621700000000004</v>
      </c>
    </row>
    <row r="22" spans="1:45" ht="12.95" customHeight="1" x14ac:dyDescent="0.25">
      <c r="A22" s="205">
        <v>4</v>
      </c>
      <c r="B22" s="206">
        <v>4457</v>
      </c>
      <c r="C22" s="206">
        <v>600074609</v>
      </c>
      <c r="D22" s="206">
        <v>72743964</v>
      </c>
      <c r="E22" s="208" t="s">
        <v>297</v>
      </c>
      <c r="F22" s="206">
        <v>3117</v>
      </c>
      <c r="G22" s="209" t="s">
        <v>294</v>
      </c>
      <c r="H22" s="209" t="s">
        <v>262</v>
      </c>
      <c r="I22" s="580">
        <v>5530098</v>
      </c>
      <c r="J22" s="490">
        <v>4084580</v>
      </c>
      <c r="K22" s="554">
        <v>18000</v>
      </c>
      <c r="L22" s="431">
        <v>1386672</v>
      </c>
      <c r="M22" s="431">
        <v>40846</v>
      </c>
      <c r="N22" s="325">
        <v>0</v>
      </c>
      <c r="O22" s="719">
        <v>5.8163</v>
      </c>
      <c r="P22" s="327">
        <f>W22*-1</f>
        <v>-12000</v>
      </c>
      <c r="Q22" s="492">
        <v>0</v>
      </c>
      <c r="R22" s="325">
        <v>0</v>
      </c>
      <c r="S22" s="325">
        <v>0</v>
      </c>
      <c r="T22" s="325">
        <v>0</v>
      </c>
      <c r="U22" s="325">
        <v>0</v>
      </c>
      <c r="V22" s="492">
        <f>P22+Q22+R22+S22+T22+U22</f>
        <v>-12000</v>
      </c>
      <c r="W22" s="325">
        <v>12000</v>
      </c>
      <c r="X22" s="325">
        <v>0</v>
      </c>
      <c r="Y22" s="325">
        <v>0</v>
      </c>
      <c r="Z22" s="492">
        <f>W22+X22+Y22</f>
        <v>12000</v>
      </c>
      <c r="AA22" s="492">
        <f>V22+Z22</f>
        <v>0</v>
      </c>
      <c r="AB22" s="494">
        <f>ROUND((V22+Z22)*33.8%,0)</f>
        <v>0</v>
      </c>
      <c r="AC22" s="494">
        <f>ROUND(V22*1%,0)</f>
        <v>-120</v>
      </c>
      <c r="AD22" s="492">
        <v>0</v>
      </c>
      <c r="AE22" s="753">
        <f t="shared" ref="AE22:AE24" si="7">AA22+AB22+AC22+AD22</f>
        <v>-120</v>
      </c>
      <c r="AF22" s="688">
        <v>0</v>
      </c>
      <c r="AG22" s="871">
        <v>0</v>
      </c>
      <c r="AH22" s="326">
        <v>0</v>
      </c>
      <c r="AI22" s="326">
        <v>0</v>
      </c>
      <c r="AJ22" s="326">
        <v>0</v>
      </c>
      <c r="AK22" s="326">
        <v>0</v>
      </c>
      <c r="AL22" s="609">
        <f>SUM(AF22:AK22)</f>
        <v>0</v>
      </c>
      <c r="AM22" s="676">
        <f>I22+AE22</f>
        <v>5529978</v>
      </c>
      <c r="AN22" s="492">
        <f>J22+V22</f>
        <v>4072580</v>
      </c>
      <c r="AO22" s="573">
        <f>K22+Z22</f>
        <v>30000</v>
      </c>
      <c r="AP22" s="492">
        <f t="shared" ref="AP22:AR24" si="8">L22+AB22</f>
        <v>1386672</v>
      </c>
      <c r="AQ22" s="492">
        <f t="shared" si="8"/>
        <v>40726</v>
      </c>
      <c r="AR22" s="492">
        <f t="shared" si="8"/>
        <v>0</v>
      </c>
      <c r="AS22" s="609">
        <f>O22+AL22</f>
        <v>5.8163</v>
      </c>
    </row>
    <row r="23" spans="1:45" ht="12.95" customHeight="1" x14ac:dyDescent="0.25">
      <c r="A23" s="205">
        <v>4</v>
      </c>
      <c r="B23" s="206">
        <v>4457</v>
      </c>
      <c r="C23" s="206">
        <v>600074609</v>
      </c>
      <c r="D23" s="206">
        <v>72743964</v>
      </c>
      <c r="E23" s="208" t="s">
        <v>297</v>
      </c>
      <c r="F23" s="206">
        <v>3117</v>
      </c>
      <c r="G23" s="209" t="s">
        <v>284</v>
      </c>
      <c r="H23" s="209" t="s">
        <v>263</v>
      </c>
      <c r="I23" s="580">
        <v>1215624</v>
      </c>
      <c r="J23" s="490">
        <v>901798</v>
      </c>
      <c r="K23" s="554">
        <v>0</v>
      </c>
      <c r="L23" s="431">
        <v>304808</v>
      </c>
      <c r="M23" s="431">
        <v>9018</v>
      </c>
      <c r="N23" s="325">
        <v>0</v>
      </c>
      <c r="O23" s="719">
        <v>2.2400000000000002</v>
      </c>
      <c r="P23" s="327">
        <f>W23*-1</f>
        <v>0</v>
      </c>
      <c r="Q23" s="492">
        <v>211288</v>
      </c>
      <c r="R23" s="325">
        <v>0</v>
      </c>
      <c r="S23" s="325">
        <v>0</v>
      </c>
      <c r="T23" s="325">
        <v>0</v>
      </c>
      <c r="U23" s="325">
        <v>0</v>
      </c>
      <c r="V23" s="492">
        <f>P23+Q23+R23+S23+T23+U23</f>
        <v>211288</v>
      </c>
      <c r="W23" s="325">
        <v>0</v>
      </c>
      <c r="X23" s="325">
        <v>0</v>
      </c>
      <c r="Y23" s="325">
        <v>0</v>
      </c>
      <c r="Z23" s="492">
        <f>W23+X23+Y23</f>
        <v>0</v>
      </c>
      <c r="AA23" s="492">
        <f>V23+Z23</f>
        <v>211288</v>
      </c>
      <c r="AB23" s="494">
        <f>ROUND((V23+Z23)*33.8%,0)</f>
        <v>71415</v>
      </c>
      <c r="AC23" s="494">
        <f>ROUND(V23*1%,0)</f>
        <v>2113</v>
      </c>
      <c r="AD23" s="492">
        <v>0</v>
      </c>
      <c r="AE23" s="753">
        <f t="shared" si="7"/>
        <v>284816</v>
      </c>
      <c r="AF23" s="688">
        <v>0</v>
      </c>
      <c r="AG23" s="871">
        <v>0.53</v>
      </c>
      <c r="AH23" s="326">
        <v>0</v>
      </c>
      <c r="AI23" s="326">
        <v>0</v>
      </c>
      <c r="AJ23" s="326">
        <v>0</v>
      </c>
      <c r="AK23" s="326">
        <v>0</v>
      </c>
      <c r="AL23" s="609">
        <f>SUM(AF23:AK23)</f>
        <v>0.53</v>
      </c>
      <c r="AM23" s="676">
        <f>I23+AE23</f>
        <v>1500440</v>
      </c>
      <c r="AN23" s="492">
        <f>J23+V23</f>
        <v>1113086</v>
      </c>
      <c r="AO23" s="573">
        <f>K23+Z23</f>
        <v>0</v>
      </c>
      <c r="AP23" s="492">
        <f t="shared" si="8"/>
        <v>376223</v>
      </c>
      <c r="AQ23" s="492">
        <f t="shared" si="8"/>
        <v>11131</v>
      </c>
      <c r="AR23" s="492">
        <f t="shared" si="8"/>
        <v>0</v>
      </c>
      <c r="AS23" s="609">
        <f>O23+AL23</f>
        <v>2.7700000000000005</v>
      </c>
    </row>
    <row r="24" spans="1:45" ht="12.95" customHeight="1" x14ac:dyDescent="0.25">
      <c r="A24" s="205">
        <v>4</v>
      </c>
      <c r="B24" s="206">
        <v>4457</v>
      </c>
      <c r="C24" s="206">
        <v>600074609</v>
      </c>
      <c r="D24" s="206">
        <v>72743964</v>
      </c>
      <c r="E24" s="208" t="s">
        <v>297</v>
      </c>
      <c r="F24" s="206">
        <v>3143</v>
      </c>
      <c r="G24" s="209" t="s">
        <v>794</v>
      </c>
      <c r="H24" s="209" t="s">
        <v>262</v>
      </c>
      <c r="I24" s="580">
        <v>1091315</v>
      </c>
      <c r="J24" s="490">
        <v>809581</v>
      </c>
      <c r="K24" s="554">
        <v>0</v>
      </c>
      <c r="L24" s="431">
        <v>273638</v>
      </c>
      <c r="M24" s="431">
        <v>8096</v>
      </c>
      <c r="N24" s="325">
        <v>0</v>
      </c>
      <c r="O24" s="719">
        <v>1.5467</v>
      </c>
      <c r="P24" s="327">
        <f>W24*-1</f>
        <v>0</v>
      </c>
      <c r="Q24" s="492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>P24+Q24+R24+S24+T24+U24</f>
        <v>0</v>
      </c>
      <c r="W24" s="325">
        <v>0</v>
      </c>
      <c r="X24" s="325">
        <v>0</v>
      </c>
      <c r="Y24" s="325">
        <v>0</v>
      </c>
      <c r="Z24" s="492">
        <f>W24+X24+Y24</f>
        <v>0</v>
      </c>
      <c r="AA24" s="492">
        <f>V24+Z24</f>
        <v>0</v>
      </c>
      <c r="AB24" s="494">
        <f>ROUND((V24+Z24)*33.8%,0)</f>
        <v>0</v>
      </c>
      <c r="AC24" s="494">
        <f>ROUND(V24*1%,0)</f>
        <v>0</v>
      </c>
      <c r="AD24" s="492">
        <v>0</v>
      </c>
      <c r="AE24" s="753">
        <f t="shared" si="7"/>
        <v>0</v>
      </c>
      <c r="AF24" s="688">
        <v>0</v>
      </c>
      <c r="AG24" s="871">
        <v>0</v>
      </c>
      <c r="AH24" s="326">
        <v>0</v>
      </c>
      <c r="AI24" s="326">
        <v>0</v>
      </c>
      <c r="AJ24" s="326">
        <v>0</v>
      </c>
      <c r="AK24" s="326">
        <v>0</v>
      </c>
      <c r="AL24" s="609">
        <f>SUM(AF24:AK24)</f>
        <v>0</v>
      </c>
      <c r="AM24" s="676">
        <f>I24+AE24</f>
        <v>1091315</v>
      </c>
      <c r="AN24" s="492">
        <f>J24+V24</f>
        <v>809581</v>
      </c>
      <c r="AO24" s="573">
        <f>K24+Z24</f>
        <v>0</v>
      </c>
      <c r="AP24" s="492">
        <f t="shared" si="8"/>
        <v>273638</v>
      </c>
      <c r="AQ24" s="492">
        <f t="shared" si="8"/>
        <v>8096</v>
      </c>
      <c r="AR24" s="492">
        <f t="shared" si="8"/>
        <v>0</v>
      </c>
      <c r="AS24" s="609">
        <f>O24+AL24</f>
        <v>1.5467</v>
      </c>
    </row>
    <row r="25" spans="1:45" ht="12.95" customHeight="1" x14ac:dyDescent="0.25">
      <c r="A25" s="198">
        <v>4</v>
      </c>
      <c r="B25" s="200">
        <v>4457</v>
      </c>
      <c r="C25" s="200">
        <v>600074609</v>
      </c>
      <c r="D25" s="200">
        <v>72743964</v>
      </c>
      <c r="E25" s="213" t="s">
        <v>298</v>
      </c>
      <c r="F25" s="216"/>
      <c r="G25" s="217"/>
      <c r="H25" s="217"/>
      <c r="I25" s="670">
        <v>7837037</v>
      </c>
      <c r="J25" s="353">
        <v>5795959</v>
      </c>
      <c r="K25" s="353">
        <v>18000</v>
      </c>
      <c r="L25" s="353">
        <v>1965118</v>
      </c>
      <c r="M25" s="353">
        <v>57960</v>
      </c>
      <c r="N25" s="353">
        <v>0</v>
      </c>
      <c r="O25" s="781">
        <v>9.6029999999999998</v>
      </c>
      <c r="P25" s="670">
        <f t="shared" ref="P25:AS25" si="9">SUM(P22:P24)</f>
        <v>-12000</v>
      </c>
      <c r="Q25" s="353">
        <f t="shared" si="9"/>
        <v>211288</v>
      </c>
      <c r="R25" s="353">
        <f t="shared" si="9"/>
        <v>0</v>
      </c>
      <c r="S25" s="353">
        <f t="shared" si="9"/>
        <v>0</v>
      </c>
      <c r="T25" s="353">
        <f t="shared" si="9"/>
        <v>0</v>
      </c>
      <c r="U25" s="353">
        <f t="shared" si="9"/>
        <v>0</v>
      </c>
      <c r="V25" s="353">
        <f t="shared" si="9"/>
        <v>199288</v>
      </c>
      <c r="W25" s="353">
        <f t="shared" si="9"/>
        <v>12000</v>
      </c>
      <c r="X25" s="353">
        <f t="shared" si="9"/>
        <v>0</v>
      </c>
      <c r="Y25" s="353">
        <f t="shared" si="9"/>
        <v>0</v>
      </c>
      <c r="Z25" s="353">
        <f t="shared" si="9"/>
        <v>12000</v>
      </c>
      <c r="AA25" s="353">
        <f t="shared" si="9"/>
        <v>211288</v>
      </c>
      <c r="AB25" s="353">
        <f t="shared" si="9"/>
        <v>71415</v>
      </c>
      <c r="AC25" s="353">
        <f t="shared" si="9"/>
        <v>1993</v>
      </c>
      <c r="AD25" s="353">
        <f t="shared" si="9"/>
        <v>0</v>
      </c>
      <c r="AE25" s="667">
        <f t="shared" si="9"/>
        <v>284696</v>
      </c>
      <c r="AF25" s="794">
        <f t="shared" si="9"/>
        <v>0</v>
      </c>
      <c r="AG25" s="872">
        <f t="shared" si="9"/>
        <v>0.53</v>
      </c>
      <c r="AH25" s="354">
        <f t="shared" si="9"/>
        <v>0</v>
      </c>
      <c r="AI25" s="354">
        <f t="shared" si="9"/>
        <v>0</v>
      </c>
      <c r="AJ25" s="354">
        <f t="shared" si="9"/>
        <v>0</v>
      </c>
      <c r="AK25" s="354">
        <f t="shared" si="9"/>
        <v>0</v>
      </c>
      <c r="AL25" s="215">
        <f t="shared" si="9"/>
        <v>0.53</v>
      </c>
      <c r="AM25" s="670">
        <f t="shared" si="9"/>
        <v>8121733</v>
      </c>
      <c r="AN25" s="353">
        <f t="shared" si="9"/>
        <v>5995247</v>
      </c>
      <c r="AO25" s="353">
        <f t="shared" si="9"/>
        <v>30000</v>
      </c>
      <c r="AP25" s="353">
        <f t="shared" si="9"/>
        <v>2036533</v>
      </c>
      <c r="AQ25" s="353">
        <f t="shared" si="9"/>
        <v>59953</v>
      </c>
      <c r="AR25" s="353">
        <f t="shared" si="9"/>
        <v>0</v>
      </c>
      <c r="AS25" s="215">
        <f t="shared" si="9"/>
        <v>10.133000000000001</v>
      </c>
    </row>
    <row r="26" spans="1:45" ht="12.95" customHeight="1" x14ac:dyDescent="0.25">
      <c r="A26" s="205">
        <v>5</v>
      </c>
      <c r="B26" s="206">
        <v>4456</v>
      </c>
      <c r="C26" s="206">
        <v>600074617</v>
      </c>
      <c r="D26" s="206">
        <v>68430132</v>
      </c>
      <c r="E26" s="208" t="s">
        <v>299</v>
      </c>
      <c r="F26" s="206">
        <v>3113</v>
      </c>
      <c r="G26" s="209" t="s">
        <v>294</v>
      </c>
      <c r="H26" s="209" t="s">
        <v>262</v>
      </c>
      <c r="I26" s="782">
        <v>49282988</v>
      </c>
      <c r="J26" s="702">
        <v>35946775</v>
      </c>
      <c r="K26" s="846">
        <v>617889</v>
      </c>
      <c r="L26" s="703">
        <v>12358856</v>
      </c>
      <c r="M26" s="703">
        <v>359468</v>
      </c>
      <c r="N26" s="325">
        <v>0</v>
      </c>
      <c r="O26" s="783">
        <v>49.220100000000002</v>
      </c>
      <c r="P26" s="327">
        <f>W26*-1</f>
        <v>-148000</v>
      </c>
      <c r="Q26" s="492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>P26+Q26+R26+S26+T26+U26</f>
        <v>-148000</v>
      </c>
      <c r="W26" s="325">
        <v>148000</v>
      </c>
      <c r="X26" s="325">
        <v>0</v>
      </c>
      <c r="Y26" s="325">
        <v>0</v>
      </c>
      <c r="Z26" s="492">
        <f>W26+X26+Y26</f>
        <v>148000</v>
      </c>
      <c r="AA26" s="492">
        <f>V26+Z26</f>
        <v>0</v>
      </c>
      <c r="AB26" s="494">
        <f>ROUND((V26+Z26)*33.8%,0)</f>
        <v>0</v>
      </c>
      <c r="AC26" s="494">
        <f>ROUND(V26*1%,0)</f>
        <v>-1480</v>
      </c>
      <c r="AD26" s="492">
        <v>0</v>
      </c>
      <c r="AE26" s="753">
        <f t="shared" ref="AE26:AE29" si="10">AA26+AB26+AC26+AD26</f>
        <v>-1480</v>
      </c>
      <c r="AF26" s="688">
        <v>-0.18</v>
      </c>
      <c r="AG26" s="871">
        <v>0</v>
      </c>
      <c r="AH26" s="326">
        <v>0</v>
      </c>
      <c r="AI26" s="326">
        <v>0</v>
      </c>
      <c r="AJ26" s="326">
        <v>0</v>
      </c>
      <c r="AK26" s="326">
        <v>0</v>
      </c>
      <c r="AL26" s="609">
        <f>SUM(AF26:AK26)</f>
        <v>-0.18</v>
      </c>
      <c r="AM26" s="676">
        <f>I26+AE26</f>
        <v>49281508</v>
      </c>
      <c r="AN26" s="492">
        <f>J26+V26</f>
        <v>35798775</v>
      </c>
      <c r="AO26" s="573">
        <f>K26+Z26</f>
        <v>765889</v>
      </c>
      <c r="AP26" s="492">
        <f t="shared" ref="AP26:AR29" si="11">L26+AB26</f>
        <v>12358856</v>
      </c>
      <c r="AQ26" s="492">
        <f t="shared" si="11"/>
        <v>357988</v>
      </c>
      <c r="AR26" s="492">
        <f t="shared" si="11"/>
        <v>0</v>
      </c>
      <c r="AS26" s="609">
        <f>O26+AL26</f>
        <v>49.040100000000002</v>
      </c>
    </row>
    <row r="27" spans="1:45" ht="12.95" customHeight="1" x14ac:dyDescent="0.25">
      <c r="A27" s="704">
        <v>5</v>
      </c>
      <c r="B27" s="705">
        <v>4456</v>
      </c>
      <c r="C27" s="705">
        <v>600074617</v>
      </c>
      <c r="D27" s="705">
        <v>68430132</v>
      </c>
      <c r="E27" s="706" t="s">
        <v>299</v>
      </c>
      <c r="F27" s="705">
        <v>3113</v>
      </c>
      <c r="G27" s="707" t="s">
        <v>799</v>
      </c>
      <c r="H27" s="209" t="s">
        <v>262</v>
      </c>
      <c r="I27" s="782">
        <v>128370</v>
      </c>
      <c r="J27" s="702">
        <v>95230</v>
      </c>
      <c r="K27" s="846">
        <v>0</v>
      </c>
      <c r="L27" s="703">
        <v>32188</v>
      </c>
      <c r="M27" s="703">
        <v>952</v>
      </c>
      <c r="N27" s="325">
        <v>0</v>
      </c>
      <c r="O27" s="783">
        <v>0.2</v>
      </c>
      <c r="P27" s="327">
        <f t="shared" ref="P27" si="12">W27*-1</f>
        <v>0</v>
      </c>
      <c r="Q27" s="492">
        <v>0</v>
      </c>
      <c r="R27" s="325">
        <v>0</v>
      </c>
      <c r="S27" s="325">
        <v>385585</v>
      </c>
      <c r="T27" s="325">
        <v>0</v>
      </c>
      <c r="U27" s="325">
        <v>0</v>
      </c>
      <c r="V27" s="492">
        <f>P27+Q27+R27+S27+T27+U27</f>
        <v>385585</v>
      </c>
      <c r="W27" s="325">
        <v>0</v>
      </c>
      <c r="X27" s="325">
        <v>0</v>
      </c>
      <c r="Y27" s="325">
        <v>0</v>
      </c>
      <c r="Z27" s="492">
        <f>W27+X27+Y27</f>
        <v>0</v>
      </c>
      <c r="AA27" s="492">
        <f>V27+Z27</f>
        <v>385585</v>
      </c>
      <c r="AB27" s="494">
        <f>ROUND((V27+Z27)*33.8%,0)</f>
        <v>130328</v>
      </c>
      <c r="AC27" s="494">
        <f>ROUND(V27*1%,0)</f>
        <v>3856</v>
      </c>
      <c r="AD27" s="492">
        <v>0</v>
      </c>
      <c r="AE27" s="753">
        <f t="shared" si="10"/>
        <v>519769</v>
      </c>
      <c r="AF27" s="688">
        <v>0</v>
      </c>
      <c r="AG27" s="871">
        <v>0</v>
      </c>
      <c r="AH27" s="326">
        <v>0.7</v>
      </c>
      <c r="AI27" s="326">
        <v>0</v>
      </c>
      <c r="AJ27" s="326">
        <v>0</v>
      </c>
      <c r="AK27" s="326">
        <v>0</v>
      </c>
      <c r="AL27" s="609">
        <f>SUM(AF27:AK27)</f>
        <v>0.7</v>
      </c>
      <c r="AM27" s="676">
        <f>I27+AE27</f>
        <v>648139</v>
      </c>
      <c r="AN27" s="492">
        <f>J27+V27</f>
        <v>480815</v>
      </c>
      <c r="AO27" s="573">
        <f>K27+Z27</f>
        <v>0</v>
      </c>
      <c r="AP27" s="492">
        <f t="shared" si="11"/>
        <v>162516</v>
      </c>
      <c r="AQ27" s="492">
        <f t="shared" si="11"/>
        <v>4808</v>
      </c>
      <c r="AR27" s="492">
        <f t="shared" si="11"/>
        <v>0</v>
      </c>
      <c r="AS27" s="609">
        <f>O27+AL27</f>
        <v>0.89999999999999991</v>
      </c>
    </row>
    <row r="28" spans="1:45" ht="12.95" customHeight="1" x14ac:dyDescent="0.25">
      <c r="A28" s="205">
        <v>5</v>
      </c>
      <c r="B28" s="206">
        <v>4456</v>
      </c>
      <c r="C28" s="206">
        <v>600074617</v>
      </c>
      <c r="D28" s="206">
        <v>68430132</v>
      </c>
      <c r="E28" s="208" t="s">
        <v>299</v>
      </c>
      <c r="F28" s="206">
        <v>3113</v>
      </c>
      <c r="G28" s="209" t="s">
        <v>284</v>
      </c>
      <c r="H28" s="209" t="s">
        <v>263</v>
      </c>
      <c r="I28" s="782">
        <v>4346495</v>
      </c>
      <c r="J28" s="702">
        <v>3224403</v>
      </c>
      <c r="K28" s="846">
        <v>0</v>
      </c>
      <c r="L28" s="703">
        <v>1089848</v>
      </c>
      <c r="M28" s="703">
        <v>32244</v>
      </c>
      <c r="N28" s="325">
        <v>0</v>
      </c>
      <c r="O28" s="783">
        <v>8.1300000000000008</v>
      </c>
      <c r="P28" s="327">
        <f>W28*-1</f>
        <v>0</v>
      </c>
      <c r="Q28" s="492">
        <v>0</v>
      </c>
      <c r="R28" s="325">
        <v>0</v>
      </c>
      <c r="S28" s="325">
        <v>0</v>
      </c>
      <c r="T28" s="325">
        <v>0</v>
      </c>
      <c r="U28" s="325">
        <v>0</v>
      </c>
      <c r="V28" s="492">
        <f>P28+Q28+R28+S28+T28+U28</f>
        <v>0</v>
      </c>
      <c r="W28" s="325">
        <v>0</v>
      </c>
      <c r="X28" s="325">
        <v>0</v>
      </c>
      <c r="Y28" s="325">
        <v>0</v>
      </c>
      <c r="Z28" s="492">
        <f>W28+X28+Y28</f>
        <v>0</v>
      </c>
      <c r="AA28" s="492">
        <f>V28+Z28</f>
        <v>0</v>
      </c>
      <c r="AB28" s="494">
        <f>ROUND((V28+Z28)*33.8%,0)</f>
        <v>0</v>
      </c>
      <c r="AC28" s="494">
        <f>ROUND(V28*1%,0)</f>
        <v>0</v>
      </c>
      <c r="AD28" s="492">
        <v>0</v>
      </c>
      <c r="AE28" s="753">
        <f t="shared" si="10"/>
        <v>0</v>
      </c>
      <c r="AF28" s="688">
        <v>0</v>
      </c>
      <c r="AG28" s="871">
        <v>0</v>
      </c>
      <c r="AH28" s="326">
        <v>0</v>
      </c>
      <c r="AI28" s="326">
        <v>0</v>
      </c>
      <c r="AJ28" s="326">
        <v>0</v>
      </c>
      <c r="AK28" s="326">
        <v>0</v>
      </c>
      <c r="AL28" s="609">
        <f>SUM(AF28:AK28)</f>
        <v>0</v>
      </c>
      <c r="AM28" s="676">
        <f>I28+AE28</f>
        <v>4346495</v>
      </c>
      <c r="AN28" s="492">
        <f>J28+V28</f>
        <v>3224403</v>
      </c>
      <c r="AO28" s="573">
        <f>K28+Z28</f>
        <v>0</v>
      </c>
      <c r="AP28" s="492">
        <f t="shared" si="11"/>
        <v>1089848</v>
      </c>
      <c r="AQ28" s="492">
        <f t="shared" si="11"/>
        <v>32244</v>
      </c>
      <c r="AR28" s="492">
        <f t="shared" si="11"/>
        <v>0</v>
      </c>
      <c r="AS28" s="609">
        <f>O28+AL28</f>
        <v>8.1300000000000008</v>
      </c>
    </row>
    <row r="29" spans="1:45" ht="12.95" customHeight="1" x14ac:dyDescent="0.25">
      <c r="A29" s="205">
        <v>5</v>
      </c>
      <c r="B29" s="206">
        <v>4456</v>
      </c>
      <c r="C29" s="206">
        <v>600074617</v>
      </c>
      <c r="D29" s="206">
        <v>68430132</v>
      </c>
      <c r="E29" s="208" t="s">
        <v>299</v>
      </c>
      <c r="F29" s="206">
        <v>3143</v>
      </c>
      <c r="G29" s="209" t="s">
        <v>794</v>
      </c>
      <c r="H29" s="209" t="s">
        <v>262</v>
      </c>
      <c r="I29" s="782">
        <v>4379186</v>
      </c>
      <c r="J29" s="702">
        <v>3230788</v>
      </c>
      <c r="K29" s="846">
        <v>18000</v>
      </c>
      <c r="L29" s="703">
        <v>1098090</v>
      </c>
      <c r="M29" s="703">
        <v>32308</v>
      </c>
      <c r="N29" s="325">
        <v>0</v>
      </c>
      <c r="O29" s="783">
        <v>5.8930999999999996</v>
      </c>
      <c r="P29" s="327">
        <f>W29*-1</f>
        <v>-12000</v>
      </c>
      <c r="Q29" s="492">
        <v>0</v>
      </c>
      <c r="R29" s="325">
        <v>0</v>
      </c>
      <c r="S29" s="325">
        <v>0</v>
      </c>
      <c r="T29" s="325">
        <v>0</v>
      </c>
      <c r="U29" s="325">
        <v>0</v>
      </c>
      <c r="V29" s="492">
        <f>P29+Q29+R29+S29+T29+U29</f>
        <v>-12000</v>
      </c>
      <c r="W29" s="325">
        <v>12000</v>
      </c>
      <c r="X29" s="325">
        <v>0</v>
      </c>
      <c r="Y29" s="325">
        <v>0</v>
      </c>
      <c r="Z29" s="492">
        <f>W29+X29+Y29</f>
        <v>12000</v>
      </c>
      <c r="AA29" s="492">
        <f>V29+Z29</f>
        <v>0</v>
      </c>
      <c r="AB29" s="494">
        <f>ROUND((V29+Z29)*33.8%,0)</f>
        <v>0</v>
      </c>
      <c r="AC29" s="494">
        <f>ROUND(V29*1%,0)</f>
        <v>-120</v>
      </c>
      <c r="AD29" s="492">
        <v>0</v>
      </c>
      <c r="AE29" s="753">
        <f t="shared" si="10"/>
        <v>-120</v>
      </c>
      <c r="AF29" s="688">
        <v>0</v>
      </c>
      <c r="AG29" s="871">
        <v>0</v>
      </c>
      <c r="AH29" s="326">
        <v>0</v>
      </c>
      <c r="AI29" s="326">
        <v>0</v>
      </c>
      <c r="AJ29" s="326">
        <v>0</v>
      </c>
      <c r="AK29" s="326">
        <v>0</v>
      </c>
      <c r="AL29" s="609">
        <f>SUM(AF29:AK29)</f>
        <v>0</v>
      </c>
      <c r="AM29" s="676">
        <f>I29+AE29</f>
        <v>4379066</v>
      </c>
      <c r="AN29" s="492">
        <f>J29+V29</f>
        <v>3218788</v>
      </c>
      <c r="AO29" s="573">
        <f>K29+Z29</f>
        <v>30000</v>
      </c>
      <c r="AP29" s="492">
        <f t="shared" si="11"/>
        <v>1098090</v>
      </c>
      <c r="AQ29" s="492">
        <f t="shared" si="11"/>
        <v>32188</v>
      </c>
      <c r="AR29" s="492">
        <f t="shared" si="11"/>
        <v>0</v>
      </c>
      <c r="AS29" s="609">
        <f>O29+AL29</f>
        <v>5.8930999999999996</v>
      </c>
    </row>
    <row r="30" spans="1:45" ht="12.95" customHeight="1" x14ac:dyDescent="0.25">
      <c r="A30" s="198">
        <v>5</v>
      </c>
      <c r="B30" s="200">
        <v>4456</v>
      </c>
      <c r="C30" s="200">
        <v>600074617</v>
      </c>
      <c r="D30" s="200">
        <v>68430132</v>
      </c>
      <c r="E30" s="213" t="s">
        <v>300</v>
      </c>
      <c r="F30" s="216"/>
      <c r="G30" s="217"/>
      <c r="H30" s="217"/>
      <c r="I30" s="670">
        <v>58137039</v>
      </c>
      <c r="J30" s="353">
        <v>42497196</v>
      </c>
      <c r="K30" s="353">
        <v>635889</v>
      </c>
      <c r="L30" s="353">
        <v>14578982</v>
      </c>
      <c r="M30" s="353">
        <v>424972</v>
      </c>
      <c r="N30" s="353">
        <v>0</v>
      </c>
      <c r="O30" s="781">
        <v>63.443200000000004</v>
      </c>
      <c r="P30" s="670">
        <f t="shared" ref="P30:AS30" si="13">SUM(P26:P29)</f>
        <v>-160000</v>
      </c>
      <c r="Q30" s="353">
        <f t="shared" si="13"/>
        <v>0</v>
      </c>
      <c r="R30" s="353">
        <f t="shared" si="13"/>
        <v>0</v>
      </c>
      <c r="S30" s="353">
        <f t="shared" si="13"/>
        <v>385585</v>
      </c>
      <c r="T30" s="353">
        <f t="shared" si="13"/>
        <v>0</v>
      </c>
      <c r="U30" s="353">
        <f t="shared" si="13"/>
        <v>0</v>
      </c>
      <c r="V30" s="353">
        <f t="shared" si="13"/>
        <v>225585</v>
      </c>
      <c r="W30" s="353">
        <f t="shared" si="13"/>
        <v>160000</v>
      </c>
      <c r="X30" s="353">
        <f t="shared" si="13"/>
        <v>0</v>
      </c>
      <c r="Y30" s="353">
        <f t="shared" si="13"/>
        <v>0</v>
      </c>
      <c r="Z30" s="353">
        <f t="shared" si="13"/>
        <v>160000</v>
      </c>
      <c r="AA30" s="353">
        <f t="shared" si="13"/>
        <v>385585</v>
      </c>
      <c r="AB30" s="353">
        <f t="shared" si="13"/>
        <v>130328</v>
      </c>
      <c r="AC30" s="353">
        <f t="shared" si="13"/>
        <v>2256</v>
      </c>
      <c r="AD30" s="353">
        <f t="shared" si="13"/>
        <v>0</v>
      </c>
      <c r="AE30" s="667">
        <f t="shared" si="13"/>
        <v>518169</v>
      </c>
      <c r="AF30" s="794">
        <f t="shared" si="13"/>
        <v>-0.18</v>
      </c>
      <c r="AG30" s="872">
        <f t="shared" si="13"/>
        <v>0</v>
      </c>
      <c r="AH30" s="354">
        <f t="shared" si="13"/>
        <v>0.7</v>
      </c>
      <c r="AI30" s="354">
        <f t="shared" si="13"/>
        <v>0</v>
      </c>
      <c r="AJ30" s="354">
        <f t="shared" si="13"/>
        <v>0</v>
      </c>
      <c r="AK30" s="354">
        <f t="shared" si="13"/>
        <v>0</v>
      </c>
      <c r="AL30" s="215">
        <f t="shared" si="13"/>
        <v>0.52</v>
      </c>
      <c r="AM30" s="670">
        <f t="shared" si="13"/>
        <v>58655208</v>
      </c>
      <c r="AN30" s="353">
        <f t="shared" si="13"/>
        <v>42722781</v>
      </c>
      <c r="AO30" s="353">
        <f t="shared" si="13"/>
        <v>795889</v>
      </c>
      <c r="AP30" s="353">
        <f t="shared" si="13"/>
        <v>14709310</v>
      </c>
      <c r="AQ30" s="353">
        <f t="shared" si="13"/>
        <v>427228</v>
      </c>
      <c r="AR30" s="353">
        <f t="shared" si="13"/>
        <v>0</v>
      </c>
      <c r="AS30" s="215">
        <f t="shared" si="13"/>
        <v>63.963200000000001</v>
      </c>
    </row>
    <row r="31" spans="1:45" ht="12.95" customHeight="1" x14ac:dyDescent="0.25">
      <c r="A31" s="205">
        <v>6</v>
      </c>
      <c r="B31" s="206">
        <v>4478</v>
      </c>
      <c r="C31" s="206">
        <v>600075141</v>
      </c>
      <c r="D31" s="206">
        <v>70975191</v>
      </c>
      <c r="E31" s="208" t="s">
        <v>301</v>
      </c>
      <c r="F31" s="206">
        <v>3114</v>
      </c>
      <c r="G31" s="211" t="s">
        <v>511</v>
      </c>
      <c r="H31" s="209" t="s">
        <v>262</v>
      </c>
      <c r="I31" s="580">
        <v>7747065</v>
      </c>
      <c r="J31" s="490">
        <v>5717303</v>
      </c>
      <c r="K31" s="554">
        <v>30000</v>
      </c>
      <c r="L31" s="431">
        <v>1942589</v>
      </c>
      <c r="M31" s="431">
        <v>57173</v>
      </c>
      <c r="N31" s="325">
        <v>0</v>
      </c>
      <c r="O31" s="719">
        <v>7.2727000000000004</v>
      </c>
      <c r="P31" s="327">
        <f>W31*-1</f>
        <v>-20000</v>
      </c>
      <c r="Q31" s="492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>P31+Q31+R31+S31+T31+U31</f>
        <v>-20000</v>
      </c>
      <c r="W31" s="325">
        <v>20000</v>
      </c>
      <c r="X31" s="325">
        <v>0</v>
      </c>
      <c r="Y31" s="325">
        <v>0</v>
      </c>
      <c r="Z31" s="492">
        <f>W31+X31+Y31</f>
        <v>20000</v>
      </c>
      <c r="AA31" s="492">
        <f>V31+Z31</f>
        <v>0</v>
      </c>
      <c r="AB31" s="494">
        <f>ROUND((V31+Z31)*33.8%,0)</f>
        <v>0</v>
      </c>
      <c r="AC31" s="494">
        <f>ROUND(V31*1%,0)</f>
        <v>-200</v>
      </c>
      <c r="AD31" s="492">
        <v>0</v>
      </c>
      <c r="AE31" s="753">
        <f t="shared" ref="AE31:AE34" si="14">AA31+AB31+AC31+AD31</f>
        <v>-200</v>
      </c>
      <c r="AF31" s="688">
        <v>0</v>
      </c>
      <c r="AG31" s="871">
        <v>0</v>
      </c>
      <c r="AH31" s="326">
        <v>0</v>
      </c>
      <c r="AI31" s="326">
        <v>0</v>
      </c>
      <c r="AJ31" s="326">
        <v>0</v>
      </c>
      <c r="AK31" s="326">
        <v>0</v>
      </c>
      <c r="AL31" s="609">
        <f>SUM(AF31:AK31)</f>
        <v>0</v>
      </c>
      <c r="AM31" s="676">
        <f>I31+AE31</f>
        <v>7746865</v>
      </c>
      <c r="AN31" s="492">
        <f>J31+V31</f>
        <v>5697303</v>
      </c>
      <c r="AO31" s="573">
        <f>K31+Z31</f>
        <v>50000</v>
      </c>
      <c r="AP31" s="492">
        <f t="shared" ref="AP31:AR34" si="15">L31+AB31</f>
        <v>1942589</v>
      </c>
      <c r="AQ31" s="492">
        <f t="shared" si="15"/>
        <v>56973</v>
      </c>
      <c r="AR31" s="492">
        <f t="shared" si="15"/>
        <v>0</v>
      </c>
      <c r="AS31" s="609">
        <f>O31+AL31</f>
        <v>7.2727000000000004</v>
      </c>
    </row>
    <row r="32" spans="1:45" ht="12.95" customHeight="1" x14ac:dyDescent="0.25">
      <c r="A32" s="205">
        <v>6</v>
      </c>
      <c r="B32" s="206">
        <v>4478</v>
      </c>
      <c r="C32" s="206">
        <v>600075141</v>
      </c>
      <c r="D32" s="206">
        <v>70975191</v>
      </c>
      <c r="E32" s="208" t="s">
        <v>301</v>
      </c>
      <c r="F32" s="206">
        <v>3114</v>
      </c>
      <c r="G32" s="211" t="s">
        <v>284</v>
      </c>
      <c r="H32" s="209" t="s">
        <v>263</v>
      </c>
      <c r="I32" s="580">
        <v>0</v>
      </c>
      <c r="J32" s="490">
        <v>0</v>
      </c>
      <c r="K32" s="554">
        <v>0</v>
      </c>
      <c r="L32" s="431">
        <v>0</v>
      </c>
      <c r="M32" s="431">
        <v>0</v>
      </c>
      <c r="N32" s="325">
        <v>0</v>
      </c>
      <c r="O32" s="719">
        <v>0</v>
      </c>
      <c r="P32" s="327">
        <f>W32*-1</f>
        <v>0</v>
      </c>
      <c r="Q32" s="492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>P32+Q32+R32+S32+T32+U32</f>
        <v>0</v>
      </c>
      <c r="W32" s="325">
        <v>0</v>
      </c>
      <c r="X32" s="325">
        <v>0</v>
      </c>
      <c r="Y32" s="325">
        <v>0</v>
      </c>
      <c r="Z32" s="492">
        <f>W32+X32+Y32</f>
        <v>0</v>
      </c>
      <c r="AA32" s="492">
        <f>V32+Z32</f>
        <v>0</v>
      </c>
      <c r="AB32" s="494">
        <f>ROUND((V32+Z32)*33.8%,0)</f>
        <v>0</v>
      </c>
      <c r="AC32" s="494">
        <f>ROUND(V32*1%,0)</f>
        <v>0</v>
      </c>
      <c r="AD32" s="492">
        <v>0</v>
      </c>
      <c r="AE32" s="753">
        <f t="shared" si="14"/>
        <v>0</v>
      </c>
      <c r="AF32" s="688">
        <v>0</v>
      </c>
      <c r="AG32" s="871">
        <v>0</v>
      </c>
      <c r="AH32" s="326">
        <v>0</v>
      </c>
      <c r="AI32" s="326">
        <v>0</v>
      </c>
      <c r="AJ32" s="326">
        <v>0</v>
      </c>
      <c r="AK32" s="326">
        <v>0</v>
      </c>
      <c r="AL32" s="609">
        <f>SUM(AF32:AK32)</f>
        <v>0</v>
      </c>
      <c r="AM32" s="676">
        <f>I32+AE32</f>
        <v>0</v>
      </c>
      <c r="AN32" s="492">
        <f>J32+V32</f>
        <v>0</v>
      </c>
      <c r="AO32" s="573">
        <f>K32+Z32</f>
        <v>0</v>
      </c>
      <c r="AP32" s="492">
        <f t="shared" si="15"/>
        <v>0</v>
      </c>
      <c r="AQ32" s="492">
        <f t="shared" si="15"/>
        <v>0</v>
      </c>
      <c r="AR32" s="492">
        <f t="shared" si="15"/>
        <v>0</v>
      </c>
      <c r="AS32" s="609">
        <f>O32+AL32</f>
        <v>0</v>
      </c>
    </row>
    <row r="33" spans="1:45" ht="12.95" customHeight="1" x14ac:dyDescent="0.25">
      <c r="A33" s="205">
        <v>6</v>
      </c>
      <c r="B33" s="206">
        <v>4478</v>
      </c>
      <c r="C33" s="206">
        <v>600075141</v>
      </c>
      <c r="D33" s="206">
        <v>70975191</v>
      </c>
      <c r="E33" s="208" t="s">
        <v>301</v>
      </c>
      <c r="F33" s="206">
        <v>3114</v>
      </c>
      <c r="G33" s="211" t="s">
        <v>279</v>
      </c>
      <c r="H33" s="209" t="s">
        <v>262</v>
      </c>
      <c r="I33" s="580">
        <v>1274759</v>
      </c>
      <c r="J33" s="490">
        <v>945667</v>
      </c>
      <c r="K33" s="554">
        <v>0</v>
      </c>
      <c r="L33" s="431">
        <v>319635</v>
      </c>
      <c r="M33" s="431">
        <v>9457</v>
      </c>
      <c r="N33" s="325">
        <v>0</v>
      </c>
      <c r="O33" s="719">
        <v>2.1110000000000002</v>
      </c>
      <c r="P33" s="327">
        <f>W33*-1</f>
        <v>0</v>
      </c>
      <c r="Q33" s="492">
        <v>0</v>
      </c>
      <c r="R33" s="325">
        <v>0</v>
      </c>
      <c r="S33" s="325">
        <v>0</v>
      </c>
      <c r="T33" s="325">
        <v>0</v>
      </c>
      <c r="U33" s="325">
        <v>0</v>
      </c>
      <c r="V33" s="492">
        <f>P33+Q33+R33+S33+T33+U33</f>
        <v>0</v>
      </c>
      <c r="W33" s="325">
        <v>0</v>
      </c>
      <c r="X33" s="325">
        <v>0</v>
      </c>
      <c r="Y33" s="325">
        <v>0</v>
      </c>
      <c r="Z33" s="492">
        <f>W33+X33+Y33</f>
        <v>0</v>
      </c>
      <c r="AA33" s="492">
        <f>V33+Z33</f>
        <v>0</v>
      </c>
      <c r="AB33" s="494">
        <f>ROUND((V33+Z33)*33.8%,0)</f>
        <v>0</v>
      </c>
      <c r="AC33" s="494">
        <f>ROUND(V33*1%,0)</f>
        <v>0</v>
      </c>
      <c r="AD33" s="492">
        <v>0</v>
      </c>
      <c r="AE33" s="753">
        <f t="shared" si="14"/>
        <v>0</v>
      </c>
      <c r="AF33" s="688">
        <v>0</v>
      </c>
      <c r="AG33" s="871">
        <v>0</v>
      </c>
      <c r="AH33" s="326">
        <v>0</v>
      </c>
      <c r="AI33" s="326">
        <v>0</v>
      </c>
      <c r="AJ33" s="326">
        <v>0</v>
      </c>
      <c r="AK33" s="326">
        <v>0</v>
      </c>
      <c r="AL33" s="609">
        <f>SUM(AF33:AK33)</f>
        <v>0</v>
      </c>
      <c r="AM33" s="676">
        <f>I33+AE33</f>
        <v>1274759</v>
      </c>
      <c r="AN33" s="492">
        <f>J33+V33</f>
        <v>945667</v>
      </c>
      <c r="AO33" s="573">
        <f>K33+Z33</f>
        <v>0</v>
      </c>
      <c r="AP33" s="492">
        <f t="shared" si="15"/>
        <v>319635</v>
      </c>
      <c r="AQ33" s="492">
        <f t="shared" si="15"/>
        <v>9457</v>
      </c>
      <c r="AR33" s="492">
        <f t="shared" si="15"/>
        <v>0</v>
      </c>
      <c r="AS33" s="609">
        <f>O33+AL33</f>
        <v>2.1110000000000002</v>
      </c>
    </row>
    <row r="34" spans="1:45" ht="12.95" customHeight="1" x14ac:dyDescent="0.25">
      <c r="A34" s="205">
        <v>6</v>
      </c>
      <c r="B34" s="206">
        <v>4478</v>
      </c>
      <c r="C34" s="206">
        <v>600075141</v>
      </c>
      <c r="D34" s="206">
        <v>70975191</v>
      </c>
      <c r="E34" s="208" t="s">
        <v>301</v>
      </c>
      <c r="F34" s="206">
        <v>3143</v>
      </c>
      <c r="G34" s="209" t="s">
        <v>795</v>
      </c>
      <c r="H34" s="209" t="s">
        <v>262</v>
      </c>
      <c r="I34" s="580">
        <v>471561</v>
      </c>
      <c r="J34" s="490">
        <v>349823</v>
      </c>
      <c r="K34" s="554">
        <v>0</v>
      </c>
      <c r="L34" s="431">
        <v>118240</v>
      </c>
      <c r="M34" s="431">
        <v>3498</v>
      </c>
      <c r="N34" s="325">
        <v>0</v>
      </c>
      <c r="O34" s="719">
        <v>0.64280000000000004</v>
      </c>
      <c r="P34" s="327">
        <f>W34*-1</f>
        <v>0</v>
      </c>
      <c r="Q34" s="492">
        <v>0</v>
      </c>
      <c r="R34" s="325">
        <v>0</v>
      </c>
      <c r="S34" s="325">
        <v>0</v>
      </c>
      <c r="T34" s="325">
        <v>0</v>
      </c>
      <c r="U34" s="325">
        <v>0</v>
      </c>
      <c r="V34" s="492">
        <f>P34+Q34+R34+S34+T34+U34</f>
        <v>0</v>
      </c>
      <c r="W34" s="325">
        <v>0</v>
      </c>
      <c r="X34" s="325">
        <v>0</v>
      </c>
      <c r="Y34" s="325">
        <v>0</v>
      </c>
      <c r="Z34" s="492">
        <f>W34+X34+Y34</f>
        <v>0</v>
      </c>
      <c r="AA34" s="492">
        <f>V34+Z34</f>
        <v>0</v>
      </c>
      <c r="AB34" s="494">
        <f>ROUND((V34+Z34)*33.8%,0)</f>
        <v>0</v>
      </c>
      <c r="AC34" s="494">
        <f>ROUND(V34*1%,0)</f>
        <v>0</v>
      </c>
      <c r="AD34" s="492">
        <v>0</v>
      </c>
      <c r="AE34" s="753">
        <f t="shared" si="14"/>
        <v>0</v>
      </c>
      <c r="AF34" s="688">
        <v>0</v>
      </c>
      <c r="AG34" s="871">
        <v>0</v>
      </c>
      <c r="AH34" s="326">
        <v>0</v>
      </c>
      <c r="AI34" s="326">
        <v>0</v>
      </c>
      <c r="AJ34" s="326">
        <v>0</v>
      </c>
      <c r="AK34" s="326">
        <v>0</v>
      </c>
      <c r="AL34" s="609">
        <f>SUM(AF34:AK34)</f>
        <v>0</v>
      </c>
      <c r="AM34" s="676">
        <f>I34+AE34</f>
        <v>471561</v>
      </c>
      <c r="AN34" s="492">
        <f>J34+V34</f>
        <v>349823</v>
      </c>
      <c r="AO34" s="573">
        <f>K34+Z34</f>
        <v>0</v>
      </c>
      <c r="AP34" s="492">
        <f t="shared" si="15"/>
        <v>118240</v>
      </c>
      <c r="AQ34" s="492">
        <f t="shared" si="15"/>
        <v>3498</v>
      </c>
      <c r="AR34" s="492">
        <f t="shared" si="15"/>
        <v>0</v>
      </c>
      <c r="AS34" s="609">
        <f>O34+AL34</f>
        <v>0.64280000000000004</v>
      </c>
    </row>
    <row r="35" spans="1:45" ht="12.95" customHeight="1" x14ac:dyDescent="0.25">
      <c r="A35" s="198">
        <v>6</v>
      </c>
      <c r="B35" s="200">
        <v>4478</v>
      </c>
      <c r="C35" s="200">
        <v>600075141</v>
      </c>
      <c r="D35" s="200">
        <v>70975191</v>
      </c>
      <c r="E35" s="213" t="s">
        <v>302</v>
      </c>
      <c r="F35" s="216"/>
      <c r="G35" s="217"/>
      <c r="H35" s="217"/>
      <c r="I35" s="670">
        <v>9493385</v>
      </c>
      <c r="J35" s="353">
        <v>7012793</v>
      </c>
      <c r="K35" s="353">
        <v>30000</v>
      </c>
      <c r="L35" s="353">
        <v>2380464</v>
      </c>
      <c r="M35" s="353">
        <v>70128</v>
      </c>
      <c r="N35" s="353">
        <v>0</v>
      </c>
      <c r="O35" s="781">
        <v>10.0265</v>
      </c>
      <c r="P35" s="670">
        <f t="shared" ref="P35:AS35" si="16">SUM(P31:P34)</f>
        <v>-20000</v>
      </c>
      <c r="Q35" s="353">
        <f t="shared" si="16"/>
        <v>0</v>
      </c>
      <c r="R35" s="353">
        <f t="shared" si="16"/>
        <v>0</v>
      </c>
      <c r="S35" s="353">
        <f t="shared" si="16"/>
        <v>0</v>
      </c>
      <c r="T35" s="353">
        <f t="shared" si="16"/>
        <v>0</v>
      </c>
      <c r="U35" s="353">
        <f t="shared" si="16"/>
        <v>0</v>
      </c>
      <c r="V35" s="353">
        <f t="shared" si="16"/>
        <v>-20000</v>
      </c>
      <c r="W35" s="353">
        <f t="shared" si="16"/>
        <v>20000</v>
      </c>
      <c r="X35" s="353">
        <f t="shared" si="16"/>
        <v>0</v>
      </c>
      <c r="Y35" s="353">
        <f t="shared" si="16"/>
        <v>0</v>
      </c>
      <c r="Z35" s="353">
        <f t="shared" si="16"/>
        <v>20000</v>
      </c>
      <c r="AA35" s="353">
        <f t="shared" si="16"/>
        <v>0</v>
      </c>
      <c r="AB35" s="353">
        <f t="shared" si="16"/>
        <v>0</v>
      </c>
      <c r="AC35" s="353">
        <f t="shared" si="16"/>
        <v>-200</v>
      </c>
      <c r="AD35" s="353">
        <f t="shared" si="16"/>
        <v>0</v>
      </c>
      <c r="AE35" s="667">
        <f t="shared" si="16"/>
        <v>-200</v>
      </c>
      <c r="AF35" s="794">
        <v>0</v>
      </c>
      <c r="AG35" s="872">
        <f t="shared" si="16"/>
        <v>0</v>
      </c>
      <c r="AH35" s="354">
        <f t="shared" si="16"/>
        <v>0</v>
      </c>
      <c r="AI35" s="354">
        <f t="shared" si="16"/>
        <v>0</v>
      </c>
      <c r="AJ35" s="354">
        <f t="shared" si="16"/>
        <v>0</v>
      </c>
      <c r="AK35" s="354">
        <f t="shared" si="16"/>
        <v>0</v>
      </c>
      <c r="AL35" s="215">
        <f t="shared" si="16"/>
        <v>0</v>
      </c>
      <c r="AM35" s="670">
        <f t="shared" si="16"/>
        <v>9493185</v>
      </c>
      <c r="AN35" s="353">
        <f t="shared" si="16"/>
        <v>6992793</v>
      </c>
      <c r="AO35" s="353">
        <f t="shared" si="16"/>
        <v>50000</v>
      </c>
      <c r="AP35" s="353">
        <f t="shared" si="16"/>
        <v>2380464</v>
      </c>
      <c r="AQ35" s="353">
        <f t="shared" si="16"/>
        <v>69928</v>
      </c>
      <c r="AR35" s="353">
        <f t="shared" si="16"/>
        <v>0</v>
      </c>
      <c r="AS35" s="215">
        <f t="shared" si="16"/>
        <v>10.0265</v>
      </c>
    </row>
    <row r="36" spans="1:45" ht="12.95" customHeight="1" x14ac:dyDescent="0.25">
      <c r="A36" s="205">
        <v>7</v>
      </c>
      <c r="B36" s="206">
        <v>4471</v>
      </c>
      <c r="C36" s="206">
        <v>600075061</v>
      </c>
      <c r="D36" s="206">
        <v>70975205</v>
      </c>
      <c r="E36" s="208" t="s">
        <v>303</v>
      </c>
      <c r="F36" s="206">
        <v>3231</v>
      </c>
      <c r="G36" s="209" t="s">
        <v>281</v>
      </c>
      <c r="H36" s="209" t="s">
        <v>262</v>
      </c>
      <c r="I36" s="580">
        <v>13035139</v>
      </c>
      <c r="J36" s="490">
        <v>9669984</v>
      </c>
      <c r="K36" s="554">
        <v>0</v>
      </c>
      <c r="L36" s="431">
        <v>3268455</v>
      </c>
      <c r="M36" s="431">
        <v>96700</v>
      </c>
      <c r="N36" s="325">
        <v>0</v>
      </c>
      <c r="O36" s="719">
        <v>14.4892</v>
      </c>
      <c r="P36" s="327">
        <f>W36*-1</f>
        <v>0</v>
      </c>
      <c r="Q36" s="492">
        <v>0</v>
      </c>
      <c r="R36" s="325">
        <v>0</v>
      </c>
      <c r="S36" s="325">
        <v>0</v>
      </c>
      <c r="T36" s="325">
        <v>0</v>
      </c>
      <c r="U36" s="325">
        <v>0</v>
      </c>
      <c r="V36" s="492">
        <f>P36+Q36+R36+S36+T36+U36</f>
        <v>0</v>
      </c>
      <c r="W36" s="325">
        <v>0</v>
      </c>
      <c r="X36" s="325">
        <v>0</v>
      </c>
      <c r="Y36" s="325">
        <v>0</v>
      </c>
      <c r="Z36" s="492">
        <f>W36+X36+Y36</f>
        <v>0</v>
      </c>
      <c r="AA36" s="492">
        <f>V36+Z36</f>
        <v>0</v>
      </c>
      <c r="AB36" s="494">
        <f>ROUND((V36+Z36)*33.8%,0)</f>
        <v>0</v>
      </c>
      <c r="AC36" s="494">
        <f>ROUND(V36*1%,0)</f>
        <v>0</v>
      </c>
      <c r="AD36" s="492">
        <v>0</v>
      </c>
      <c r="AE36" s="753">
        <f>AA36+AB36+AC36+AD36</f>
        <v>0</v>
      </c>
      <c r="AF36" s="688">
        <v>0</v>
      </c>
      <c r="AG36" s="871">
        <v>0</v>
      </c>
      <c r="AH36" s="326">
        <v>0</v>
      </c>
      <c r="AI36" s="326">
        <v>0</v>
      </c>
      <c r="AJ36" s="326">
        <v>0</v>
      </c>
      <c r="AK36" s="326">
        <v>0</v>
      </c>
      <c r="AL36" s="609">
        <f>SUM(AF36:AK36)</f>
        <v>0</v>
      </c>
      <c r="AM36" s="676">
        <f>I36+AE36</f>
        <v>13035139</v>
      </c>
      <c r="AN36" s="492">
        <f>J36+V36</f>
        <v>9669984</v>
      </c>
      <c r="AO36" s="573">
        <f>K36+Z36</f>
        <v>0</v>
      </c>
      <c r="AP36" s="492">
        <f>L36+AB36</f>
        <v>3268455</v>
      </c>
      <c r="AQ36" s="492">
        <f>M36+AC36</f>
        <v>96700</v>
      </c>
      <c r="AR36" s="492">
        <f>N36+AD36</f>
        <v>0</v>
      </c>
      <c r="AS36" s="609">
        <f>O36+AL36</f>
        <v>14.4892</v>
      </c>
    </row>
    <row r="37" spans="1:45" ht="12.95" customHeight="1" x14ac:dyDescent="0.25">
      <c r="A37" s="198">
        <v>7</v>
      </c>
      <c r="B37" s="200">
        <v>4471</v>
      </c>
      <c r="C37" s="200">
        <v>600075061</v>
      </c>
      <c r="D37" s="200">
        <v>70975205</v>
      </c>
      <c r="E37" s="213" t="s">
        <v>304</v>
      </c>
      <c r="F37" s="216"/>
      <c r="G37" s="217"/>
      <c r="H37" s="217"/>
      <c r="I37" s="670">
        <v>13035139</v>
      </c>
      <c r="J37" s="353">
        <v>9669984</v>
      </c>
      <c r="K37" s="353">
        <v>0</v>
      </c>
      <c r="L37" s="353">
        <v>3268455</v>
      </c>
      <c r="M37" s="353">
        <v>96700</v>
      </c>
      <c r="N37" s="353">
        <v>0</v>
      </c>
      <c r="O37" s="781">
        <v>14.4892</v>
      </c>
      <c r="P37" s="670">
        <f t="shared" ref="P37:AS37" si="17">SUM(P36)</f>
        <v>0</v>
      </c>
      <c r="Q37" s="353">
        <f t="shared" si="17"/>
        <v>0</v>
      </c>
      <c r="R37" s="353">
        <f t="shared" si="17"/>
        <v>0</v>
      </c>
      <c r="S37" s="353">
        <f t="shared" si="17"/>
        <v>0</v>
      </c>
      <c r="T37" s="353">
        <f t="shared" si="17"/>
        <v>0</v>
      </c>
      <c r="U37" s="353">
        <f t="shared" si="17"/>
        <v>0</v>
      </c>
      <c r="V37" s="353">
        <f t="shared" si="17"/>
        <v>0</v>
      </c>
      <c r="W37" s="353">
        <f t="shared" si="17"/>
        <v>0</v>
      </c>
      <c r="X37" s="353">
        <f t="shared" si="17"/>
        <v>0</v>
      </c>
      <c r="Y37" s="353">
        <f t="shared" si="17"/>
        <v>0</v>
      </c>
      <c r="Z37" s="353">
        <f t="shared" si="17"/>
        <v>0</v>
      </c>
      <c r="AA37" s="353">
        <f t="shared" si="17"/>
        <v>0</v>
      </c>
      <c r="AB37" s="353">
        <f t="shared" si="17"/>
        <v>0</v>
      </c>
      <c r="AC37" s="353">
        <f t="shared" si="17"/>
        <v>0</v>
      </c>
      <c r="AD37" s="353">
        <f t="shared" si="17"/>
        <v>0</v>
      </c>
      <c r="AE37" s="667">
        <f t="shared" si="17"/>
        <v>0</v>
      </c>
      <c r="AF37" s="794">
        <v>0</v>
      </c>
      <c r="AG37" s="872">
        <f t="shared" si="17"/>
        <v>0</v>
      </c>
      <c r="AH37" s="354">
        <f t="shared" si="17"/>
        <v>0</v>
      </c>
      <c r="AI37" s="354">
        <f t="shared" si="17"/>
        <v>0</v>
      </c>
      <c r="AJ37" s="354">
        <f t="shared" si="17"/>
        <v>0</v>
      </c>
      <c r="AK37" s="354">
        <f t="shared" si="17"/>
        <v>0</v>
      </c>
      <c r="AL37" s="215">
        <f t="shared" si="17"/>
        <v>0</v>
      </c>
      <c r="AM37" s="670">
        <f t="shared" si="17"/>
        <v>13035139</v>
      </c>
      <c r="AN37" s="353">
        <f t="shared" si="17"/>
        <v>9669984</v>
      </c>
      <c r="AO37" s="353">
        <f t="shared" si="17"/>
        <v>0</v>
      </c>
      <c r="AP37" s="353">
        <f t="shared" si="17"/>
        <v>3268455</v>
      </c>
      <c r="AQ37" s="353">
        <f t="shared" si="17"/>
        <v>96700</v>
      </c>
      <c r="AR37" s="353">
        <f t="shared" si="17"/>
        <v>0</v>
      </c>
      <c r="AS37" s="215">
        <f t="shared" si="17"/>
        <v>14.4892</v>
      </c>
    </row>
    <row r="38" spans="1:45" ht="12.95" customHeight="1" x14ac:dyDescent="0.25">
      <c r="A38" s="205">
        <v>8</v>
      </c>
      <c r="B38" s="206">
        <v>4474</v>
      </c>
      <c r="C38" s="206">
        <v>600075192</v>
      </c>
      <c r="D38" s="206">
        <v>49864661</v>
      </c>
      <c r="E38" s="208" t="s">
        <v>305</v>
      </c>
      <c r="F38" s="206">
        <v>3233</v>
      </c>
      <c r="G38" s="218" t="s">
        <v>283</v>
      </c>
      <c r="H38" s="209" t="s">
        <v>263</v>
      </c>
      <c r="I38" s="580">
        <v>2067825</v>
      </c>
      <c r="J38" s="490">
        <v>1533995</v>
      </c>
      <c r="K38" s="554">
        <v>0</v>
      </c>
      <c r="L38" s="431">
        <v>518490</v>
      </c>
      <c r="M38" s="431">
        <v>15340</v>
      </c>
      <c r="N38" s="325">
        <v>0</v>
      </c>
      <c r="O38" s="719">
        <v>2.6</v>
      </c>
      <c r="P38" s="327">
        <f>W38*-1</f>
        <v>0</v>
      </c>
      <c r="Q38" s="492">
        <v>0</v>
      </c>
      <c r="R38" s="325">
        <v>0</v>
      </c>
      <c r="S38" s="325">
        <v>0</v>
      </c>
      <c r="T38" s="325">
        <v>0</v>
      </c>
      <c r="U38" s="325">
        <v>0</v>
      </c>
      <c r="V38" s="492">
        <f>P38+Q38+R38+S38+T38+U38</f>
        <v>0</v>
      </c>
      <c r="W38" s="325">
        <v>0</v>
      </c>
      <c r="X38" s="325">
        <v>0</v>
      </c>
      <c r="Y38" s="325">
        <v>0</v>
      </c>
      <c r="Z38" s="492">
        <f>W38+X38+Y38</f>
        <v>0</v>
      </c>
      <c r="AA38" s="492">
        <f>V38+Z38</f>
        <v>0</v>
      </c>
      <c r="AB38" s="494">
        <f>ROUND((V38+Z38)*33.8%,0)</f>
        <v>0</v>
      </c>
      <c r="AC38" s="494">
        <f>ROUND(V38*1%,0)</f>
        <v>0</v>
      </c>
      <c r="AD38" s="492">
        <v>0</v>
      </c>
      <c r="AE38" s="753">
        <f>AA38+AB38+AC38+AD38</f>
        <v>0</v>
      </c>
      <c r="AF38" s="688">
        <v>0</v>
      </c>
      <c r="AG38" s="871">
        <v>0</v>
      </c>
      <c r="AH38" s="326">
        <v>0</v>
      </c>
      <c r="AI38" s="326">
        <v>0</v>
      </c>
      <c r="AJ38" s="326">
        <v>0</v>
      </c>
      <c r="AK38" s="326">
        <v>0</v>
      </c>
      <c r="AL38" s="609">
        <f>SUM(AF38:AK38)</f>
        <v>0</v>
      </c>
      <c r="AM38" s="676">
        <f>I38+AE38</f>
        <v>2067825</v>
      </c>
      <c r="AN38" s="492">
        <f>J38+V38</f>
        <v>1533995</v>
      </c>
      <c r="AO38" s="573">
        <f>K38+Z38</f>
        <v>0</v>
      </c>
      <c r="AP38" s="492">
        <f>L38+AB38</f>
        <v>518490</v>
      </c>
      <c r="AQ38" s="492">
        <f>M38+AC38</f>
        <v>15340</v>
      </c>
      <c r="AR38" s="492">
        <f>N38+AD38</f>
        <v>0</v>
      </c>
      <c r="AS38" s="609">
        <f>O38+AL38</f>
        <v>2.6</v>
      </c>
    </row>
    <row r="39" spans="1:45" ht="12.95" customHeight="1" x14ac:dyDescent="0.25">
      <c r="A39" s="198">
        <v>8</v>
      </c>
      <c r="B39" s="200">
        <v>4474</v>
      </c>
      <c r="C39" s="200">
        <v>600075192</v>
      </c>
      <c r="D39" s="200">
        <v>49864661</v>
      </c>
      <c r="E39" s="213" t="s">
        <v>306</v>
      </c>
      <c r="F39" s="216"/>
      <c r="G39" s="217"/>
      <c r="H39" s="217"/>
      <c r="I39" s="670">
        <v>2067825</v>
      </c>
      <c r="J39" s="353">
        <v>1533995</v>
      </c>
      <c r="K39" s="353">
        <v>0</v>
      </c>
      <c r="L39" s="353">
        <v>518490</v>
      </c>
      <c r="M39" s="353">
        <v>15340</v>
      </c>
      <c r="N39" s="353">
        <v>0</v>
      </c>
      <c r="O39" s="781">
        <v>2.6</v>
      </c>
      <c r="P39" s="670">
        <f t="shared" ref="P39:AS39" si="18">SUM(P38)</f>
        <v>0</v>
      </c>
      <c r="Q39" s="353">
        <f t="shared" si="18"/>
        <v>0</v>
      </c>
      <c r="R39" s="353">
        <f t="shared" si="18"/>
        <v>0</v>
      </c>
      <c r="S39" s="353">
        <f t="shared" si="18"/>
        <v>0</v>
      </c>
      <c r="T39" s="353">
        <f t="shared" si="18"/>
        <v>0</v>
      </c>
      <c r="U39" s="353">
        <f t="shared" si="18"/>
        <v>0</v>
      </c>
      <c r="V39" s="353">
        <f t="shared" si="18"/>
        <v>0</v>
      </c>
      <c r="W39" s="353">
        <f t="shared" si="18"/>
        <v>0</v>
      </c>
      <c r="X39" s="353">
        <f t="shared" si="18"/>
        <v>0</v>
      </c>
      <c r="Y39" s="353">
        <f t="shared" si="18"/>
        <v>0</v>
      </c>
      <c r="Z39" s="353">
        <f t="shared" si="18"/>
        <v>0</v>
      </c>
      <c r="AA39" s="353">
        <f t="shared" si="18"/>
        <v>0</v>
      </c>
      <c r="AB39" s="353">
        <f t="shared" si="18"/>
        <v>0</v>
      </c>
      <c r="AC39" s="353">
        <f t="shared" si="18"/>
        <v>0</v>
      </c>
      <c r="AD39" s="353">
        <f t="shared" si="18"/>
        <v>0</v>
      </c>
      <c r="AE39" s="667">
        <f t="shared" si="18"/>
        <v>0</v>
      </c>
      <c r="AF39" s="794">
        <v>0</v>
      </c>
      <c r="AG39" s="872">
        <f t="shared" si="18"/>
        <v>0</v>
      </c>
      <c r="AH39" s="354">
        <f t="shared" si="18"/>
        <v>0</v>
      </c>
      <c r="AI39" s="354">
        <f t="shared" si="18"/>
        <v>0</v>
      </c>
      <c r="AJ39" s="354">
        <f t="shared" si="18"/>
        <v>0</v>
      </c>
      <c r="AK39" s="354">
        <f t="shared" si="18"/>
        <v>0</v>
      </c>
      <c r="AL39" s="215">
        <f t="shared" si="18"/>
        <v>0</v>
      </c>
      <c r="AM39" s="670">
        <f t="shared" si="18"/>
        <v>2067825</v>
      </c>
      <c r="AN39" s="353">
        <f t="shared" si="18"/>
        <v>1533995</v>
      </c>
      <c r="AO39" s="353">
        <f t="shared" si="18"/>
        <v>0</v>
      </c>
      <c r="AP39" s="353">
        <f t="shared" si="18"/>
        <v>518490</v>
      </c>
      <c r="AQ39" s="353">
        <f t="shared" si="18"/>
        <v>15340</v>
      </c>
      <c r="AR39" s="353">
        <f t="shared" si="18"/>
        <v>0</v>
      </c>
      <c r="AS39" s="215">
        <f t="shared" si="18"/>
        <v>2.6</v>
      </c>
    </row>
    <row r="40" spans="1:45" ht="12.95" customHeight="1" x14ac:dyDescent="0.25">
      <c r="A40" s="205">
        <v>9</v>
      </c>
      <c r="B40" s="206">
        <v>4402</v>
      </c>
      <c r="C40" s="207">
        <v>600074021</v>
      </c>
      <c r="D40" s="206">
        <v>70695342</v>
      </c>
      <c r="E40" s="208" t="s">
        <v>307</v>
      </c>
      <c r="F40" s="206">
        <v>3111</v>
      </c>
      <c r="G40" s="209" t="s">
        <v>290</v>
      </c>
      <c r="H40" s="209" t="s">
        <v>262</v>
      </c>
      <c r="I40" s="580">
        <v>10969275</v>
      </c>
      <c r="J40" s="490">
        <v>8137445</v>
      </c>
      <c r="K40" s="554">
        <v>0</v>
      </c>
      <c r="L40" s="431">
        <v>2750456</v>
      </c>
      <c r="M40" s="431">
        <v>81374</v>
      </c>
      <c r="N40" s="325">
        <v>0</v>
      </c>
      <c r="O40" s="719">
        <v>13.951599999999999</v>
      </c>
      <c r="P40" s="327">
        <f>W40*-1</f>
        <v>0</v>
      </c>
      <c r="Q40" s="492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>P40+Q40+R40+S40+T40+U40</f>
        <v>0</v>
      </c>
      <c r="W40" s="325">
        <v>0</v>
      </c>
      <c r="X40" s="325">
        <v>0</v>
      </c>
      <c r="Y40" s="325">
        <v>0</v>
      </c>
      <c r="Z40" s="492">
        <f>W40+X40+Y40</f>
        <v>0</v>
      </c>
      <c r="AA40" s="492">
        <f>V40+Z40</f>
        <v>0</v>
      </c>
      <c r="AB40" s="494">
        <f>ROUND((V40+Z40)*33.8%,0)</f>
        <v>0</v>
      </c>
      <c r="AC40" s="494">
        <f>ROUND(V40*1%,0)</f>
        <v>0</v>
      </c>
      <c r="AD40" s="492">
        <v>0</v>
      </c>
      <c r="AE40" s="753">
        <f t="shared" ref="AE40:AE41" si="19">AA40+AB40+AC40+AD40</f>
        <v>0</v>
      </c>
      <c r="AF40" s="688">
        <v>0</v>
      </c>
      <c r="AG40" s="871">
        <v>0</v>
      </c>
      <c r="AH40" s="326">
        <v>0</v>
      </c>
      <c r="AI40" s="326">
        <v>0</v>
      </c>
      <c r="AJ40" s="326">
        <v>0</v>
      </c>
      <c r="AK40" s="326">
        <v>0</v>
      </c>
      <c r="AL40" s="609">
        <f>SUM(AF40:AK40)</f>
        <v>0</v>
      </c>
      <c r="AM40" s="676">
        <f>I40+AE40</f>
        <v>10969275</v>
      </c>
      <c r="AN40" s="492">
        <f>J40+V40</f>
        <v>8137445</v>
      </c>
      <c r="AO40" s="573">
        <f>K40+Z40</f>
        <v>0</v>
      </c>
      <c r="AP40" s="492">
        <f t="shared" ref="AP40:AR41" si="20">L40+AB40</f>
        <v>2750456</v>
      </c>
      <c r="AQ40" s="492">
        <f t="shared" si="20"/>
        <v>81374</v>
      </c>
      <c r="AR40" s="492">
        <f t="shared" si="20"/>
        <v>0</v>
      </c>
      <c r="AS40" s="609">
        <f>O40+AL40</f>
        <v>13.951599999999999</v>
      </c>
    </row>
    <row r="41" spans="1:45" ht="12.95" customHeight="1" x14ac:dyDescent="0.25">
      <c r="A41" s="205">
        <v>9</v>
      </c>
      <c r="B41" s="206">
        <v>4402</v>
      </c>
      <c r="C41" s="207">
        <v>600074021</v>
      </c>
      <c r="D41" s="206">
        <v>70695342</v>
      </c>
      <c r="E41" s="208" t="s">
        <v>307</v>
      </c>
      <c r="F41" s="206">
        <v>3111</v>
      </c>
      <c r="G41" s="209" t="s">
        <v>284</v>
      </c>
      <c r="H41" s="209" t="s">
        <v>263</v>
      </c>
      <c r="I41" s="580">
        <v>0</v>
      </c>
      <c r="J41" s="490">
        <v>0</v>
      </c>
      <c r="K41" s="554">
        <v>0</v>
      </c>
      <c r="L41" s="431">
        <v>0</v>
      </c>
      <c r="M41" s="431">
        <v>0</v>
      </c>
      <c r="N41" s="325">
        <v>0</v>
      </c>
      <c r="O41" s="719">
        <v>0</v>
      </c>
      <c r="P41" s="327">
        <f>W41*-1</f>
        <v>0</v>
      </c>
      <c r="Q41" s="492">
        <v>0</v>
      </c>
      <c r="R41" s="325">
        <v>0</v>
      </c>
      <c r="S41" s="325">
        <v>0</v>
      </c>
      <c r="T41" s="325">
        <v>0</v>
      </c>
      <c r="U41" s="325">
        <v>0</v>
      </c>
      <c r="V41" s="492">
        <f>P41+Q41+R41+S41+T41+U41</f>
        <v>0</v>
      </c>
      <c r="W41" s="325">
        <v>0</v>
      </c>
      <c r="X41" s="325">
        <v>0</v>
      </c>
      <c r="Y41" s="325">
        <v>0</v>
      </c>
      <c r="Z41" s="492">
        <f>W41+X41+Y41</f>
        <v>0</v>
      </c>
      <c r="AA41" s="492">
        <f>V41+Z41</f>
        <v>0</v>
      </c>
      <c r="AB41" s="494">
        <f>ROUND((V41+Z41)*33.8%,0)</f>
        <v>0</v>
      </c>
      <c r="AC41" s="494">
        <f>ROUND(V41*1%,0)</f>
        <v>0</v>
      </c>
      <c r="AD41" s="492">
        <v>0</v>
      </c>
      <c r="AE41" s="753">
        <f t="shared" si="19"/>
        <v>0</v>
      </c>
      <c r="AF41" s="688">
        <v>0</v>
      </c>
      <c r="AG41" s="871">
        <v>0</v>
      </c>
      <c r="AH41" s="326">
        <v>0</v>
      </c>
      <c r="AI41" s="326">
        <v>0</v>
      </c>
      <c r="AJ41" s="326">
        <v>0</v>
      </c>
      <c r="AK41" s="326">
        <v>0</v>
      </c>
      <c r="AL41" s="609">
        <f>SUM(AF41:AK41)</f>
        <v>0</v>
      </c>
      <c r="AM41" s="676">
        <f>I41+AE41</f>
        <v>0</v>
      </c>
      <c r="AN41" s="492">
        <f>J41+V41</f>
        <v>0</v>
      </c>
      <c r="AO41" s="573">
        <f>K41+Z41</f>
        <v>0</v>
      </c>
      <c r="AP41" s="492">
        <f t="shared" si="20"/>
        <v>0</v>
      </c>
      <c r="AQ41" s="492">
        <f t="shared" si="20"/>
        <v>0</v>
      </c>
      <c r="AR41" s="492">
        <f t="shared" si="20"/>
        <v>0</v>
      </c>
      <c r="AS41" s="609">
        <f>O41+AL41</f>
        <v>0</v>
      </c>
    </row>
    <row r="42" spans="1:45" ht="12.95" customHeight="1" x14ac:dyDescent="0.25">
      <c r="A42" s="198">
        <v>9</v>
      </c>
      <c r="B42" s="200">
        <v>4402</v>
      </c>
      <c r="C42" s="212">
        <v>600074021</v>
      </c>
      <c r="D42" s="200">
        <v>70695342</v>
      </c>
      <c r="E42" s="213" t="s">
        <v>308</v>
      </c>
      <c r="F42" s="216"/>
      <c r="G42" s="217"/>
      <c r="H42" s="217"/>
      <c r="I42" s="670">
        <v>10969275</v>
      </c>
      <c r="J42" s="353">
        <v>8137445</v>
      </c>
      <c r="K42" s="353">
        <v>0</v>
      </c>
      <c r="L42" s="353">
        <v>2750456</v>
      </c>
      <c r="M42" s="353">
        <v>81374</v>
      </c>
      <c r="N42" s="353">
        <v>0</v>
      </c>
      <c r="O42" s="781">
        <v>13.951599999999999</v>
      </c>
      <c r="P42" s="670">
        <f t="shared" ref="P42:AS42" si="21">SUM(P40:P41)</f>
        <v>0</v>
      </c>
      <c r="Q42" s="353">
        <f t="shared" si="21"/>
        <v>0</v>
      </c>
      <c r="R42" s="353">
        <f t="shared" si="21"/>
        <v>0</v>
      </c>
      <c r="S42" s="353">
        <f t="shared" si="21"/>
        <v>0</v>
      </c>
      <c r="T42" s="353">
        <f t="shared" si="21"/>
        <v>0</v>
      </c>
      <c r="U42" s="353">
        <f t="shared" si="21"/>
        <v>0</v>
      </c>
      <c r="V42" s="353">
        <f t="shared" si="21"/>
        <v>0</v>
      </c>
      <c r="W42" s="353">
        <f t="shared" si="21"/>
        <v>0</v>
      </c>
      <c r="X42" s="353">
        <f t="shared" si="21"/>
        <v>0</v>
      </c>
      <c r="Y42" s="353">
        <f t="shared" si="21"/>
        <v>0</v>
      </c>
      <c r="Z42" s="353">
        <f t="shared" si="21"/>
        <v>0</v>
      </c>
      <c r="AA42" s="353">
        <f t="shared" si="21"/>
        <v>0</v>
      </c>
      <c r="AB42" s="353">
        <f t="shared" si="21"/>
        <v>0</v>
      </c>
      <c r="AC42" s="353">
        <f t="shared" si="21"/>
        <v>0</v>
      </c>
      <c r="AD42" s="353">
        <f t="shared" si="21"/>
        <v>0</v>
      </c>
      <c r="AE42" s="667">
        <f t="shared" si="21"/>
        <v>0</v>
      </c>
      <c r="AF42" s="794">
        <v>0</v>
      </c>
      <c r="AG42" s="872">
        <f t="shared" si="21"/>
        <v>0</v>
      </c>
      <c r="AH42" s="354">
        <f t="shared" si="21"/>
        <v>0</v>
      </c>
      <c r="AI42" s="354">
        <f t="shared" si="21"/>
        <v>0</v>
      </c>
      <c r="AJ42" s="354">
        <f t="shared" si="21"/>
        <v>0</v>
      </c>
      <c r="AK42" s="354">
        <f t="shared" si="21"/>
        <v>0</v>
      </c>
      <c r="AL42" s="215">
        <f t="shared" si="21"/>
        <v>0</v>
      </c>
      <c r="AM42" s="670">
        <f t="shared" si="21"/>
        <v>10969275</v>
      </c>
      <c r="AN42" s="353">
        <f t="shared" si="21"/>
        <v>8137445</v>
      </c>
      <c r="AO42" s="353">
        <f t="shared" si="21"/>
        <v>0</v>
      </c>
      <c r="AP42" s="353">
        <f t="shared" si="21"/>
        <v>2750456</v>
      </c>
      <c r="AQ42" s="353">
        <f t="shared" si="21"/>
        <v>81374</v>
      </c>
      <c r="AR42" s="353">
        <f t="shared" si="21"/>
        <v>0</v>
      </c>
      <c r="AS42" s="215">
        <f t="shared" si="21"/>
        <v>13.951599999999999</v>
      </c>
    </row>
    <row r="43" spans="1:45" ht="12.95" customHeight="1" x14ac:dyDescent="0.25">
      <c r="A43" s="205">
        <v>10</v>
      </c>
      <c r="B43" s="206">
        <v>4481</v>
      </c>
      <c r="C43" s="206">
        <v>600074722</v>
      </c>
      <c r="D43" s="206">
        <v>70942692</v>
      </c>
      <c r="E43" s="208" t="s">
        <v>309</v>
      </c>
      <c r="F43" s="206">
        <v>3113</v>
      </c>
      <c r="G43" s="209" t="s">
        <v>310</v>
      </c>
      <c r="H43" s="209" t="s">
        <v>262</v>
      </c>
      <c r="I43" s="580">
        <v>25207550</v>
      </c>
      <c r="J43" s="490">
        <v>18699962</v>
      </c>
      <c r="K43" s="554">
        <v>0</v>
      </c>
      <c r="L43" s="431">
        <v>6320588</v>
      </c>
      <c r="M43" s="431">
        <v>187000</v>
      </c>
      <c r="N43" s="325">
        <v>0</v>
      </c>
      <c r="O43" s="719">
        <v>25.2179</v>
      </c>
      <c r="P43" s="327">
        <f>W43*-1</f>
        <v>0</v>
      </c>
      <c r="Q43" s="492">
        <v>0</v>
      </c>
      <c r="R43" s="325">
        <v>0</v>
      </c>
      <c r="S43" s="325">
        <v>0</v>
      </c>
      <c r="T43" s="325">
        <v>0</v>
      </c>
      <c r="U43" s="325">
        <v>0</v>
      </c>
      <c r="V43" s="492">
        <f>P43+Q43+R43+S43+T43+U43</f>
        <v>0</v>
      </c>
      <c r="W43" s="325">
        <v>0</v>
      </c>
      <c r="X43" s="325">
        <v>0</v>
      </c>
      <c r="Y43" s="325">
        <v>0</v>
      </c>
      <c r="Z43" s="492">
        <f>W43+X43+Y43</f>
        <v>0</v>
      </c>
      <c r="AA43" s="492">
        <f>V43+Z43</f>
        <v>0</v>
      </c>
      <c r="AB43" s="494">
        <f>ROUND((V43+Z43)*33.8%,0)</f>
        <v>0</v>
      </c>
      <c r="AC43" s="494">
        <f>ROUND(V43*1%,0)</f>
        <v>0</v>
      </c>
      <c r="AD43" s="492">
        <v>0</v>
      </c>
      <c r="AE43" s="753">
        <f t="shared" ref="AE43:AE46" si="22">AA43+AB43+AC43+AD43</f>
        <v>0</v>
      </c>
      <c r="AF43" s="688">
        <v>0</v>
      </c>
      <c r="AG43" s="871">
        <v>0</v>
      </c>
      <c r="AH43" s="326">
        <v>0</v>
      </c>
      <c r="AI43" s="326">
        <v>0</v>
      </c>
      <c r="AJ43" s="326">
        <v>0</v>
      </c>
      <c r="AK43" s="326">
        <v>0</v>
      </c>
      <c r="AL43" s="609">
        <f>SUM(AF43:AK43)</f>
        <v>0</v>
      </c>
      <c r="AM43" s="676">
        <f>I43+AE43</f>
        <v>25207550</v>
      </c>
      <c r="AN43" s="492">
        <f>J43+V43</f>
        <v>18699962</v>
      </c>
      <c r="AO43" s="573">
        <f>K43+Z43</f>
        <v>0</v>
      </c>
      <c r="AP43" s="492">
        <f t="shared" ref="AP43:AR46" si="23">L43+AB43</f>
        <v>6320588</v>
      </c>
      <c r="AQ43" s="492">
        <f t="shared" si="23"/>
        <v>187000</v>
      </c>
      <c r="AR43" s="492">
        <f t="shared" si="23"/>
        <v>0</v>
      </c>
      <c r="AS43" s="609">
        <f>O43+AL43</f>
        <v>25.2179</v>
      </c>
    </row>
    <row r="44" spans="1:45" ht="12.95" customHeight="1" x14ac:dyDescent="0.25">
      <c r="A44" s="704">
        <v>10</v>
      </c>
      <c r="B44" s="705">
        <v>4481</v>
      </c>
      <c r="C44" s="705">
        <v>600074722</v>
      </c>
      <c r="D44" s="705">
        <v>70942692</v>
      </c>
      <c r="E44" s="706" t="s">
        <v>309</v>
      </c>
      <c r="F44" s="705">
        <v>3113</v>
      </c>
      <c r="G44" s="707" t="s">
        <v>810</v>
      </c>
      <c r="H44" s="209" t="s">
        <v>262</v>
      </c>
      <c r="I44" s="580">
        <v>287732</v>
      </c>
      <c r="J44" s="490">
        <v>213451</v>
      </c>
      <c r="K44" s="554">
        <v>0</v>
      </c>
      <c r="L44" s="431">
        <v>72146</v>
      </c>
      <c r="M44" s="431">
        <v>2135</v>
      </c>
      <c r="N44" s="325">
        <v>0</v>
      </c>
      <c r="O44" s="719">
        <v>0.4</v>
      </c>
      <c r="P44" s="327">
        <f t="shared" ref="P44" si="24">W44*-1</f>
        <v>0</v>
      </c>
      <c r="Q44" s="492">
        <v>0</v>
      </c>
      <c r="R44" s="325">
        <v>0</v>
      </c>
      <c r="S44" s="325">
        <v>0</v>
      </c>
      <c r="T44" s="325">
        <v>0</v>
      </c>
      <c r="U44" s="325">
        <v>0</v>
      </c>
      <c r="V44" s="492">
        <f>P44+Q44+R44+S44+T44+U44</f>
        <v>0</v>
      </c>
      <c r="W44" s="325">
        <v>0</v>
      </c>
      <c r="X44" s="325">
        <v>0</v>
      </c>
      <c r="Y44" s="325">
        <v>0</v>
      </c>
      <c r="Z44" s="492">
        <f>W44+X44+Y44</f>
        <v>0</v>
      </c>
      <c r="AA44" s="492">
        <f>V44+Z44</f>
        <v>0</v>
      </c>
      <c r="AB44" s="494">
        <f>ROUND((V44+Z44)*33.8%,0)</f>
        <v>0</v>
      </c>
      <c r="AC44" s="494">
        <f>ROUND(V44*1%,0)</f>
        <v>0</v>
      </c>
      <c r="AD44" s="492">
        <v>0</v>
      </c>
      <c r="AE44" s="753">
        <f t="shared" si="22"/>
        <v>0</v>
      </c>
      <c r="AF44" s="688">
        <v>0</v>
      </c>
      <c r="AG44" s="871">
        <v>0</v>
      </c>
      <c r="AH44" s="326">
        <v>0</v>
      </c>
      <c r="AI44" s="326">
        <v>0</v>
      </c>
      <c r="AJ44" s="326">
        <v>0</v>
      </c>
      <c r="AK44" s="326">
        <v>0</v>
      </c>
      <c r="AL44" s="609">
        <f>SUM(AF44:AK44)</f>
        <v>0</v>
      </c>
      <c r="AM44" s="676">
        <f>I44+AE44</f>
        <v>287732</v>
      </c>
      <c r="AN44" s="492">
        <f>J44+V44</f>
        <v>213451</v>
      </c>
      <c r="AO44" s="573">
        <f>K44+Z44</f>
        <v>0</v>
      </c>
      <c r="AP44" s="492">
        <f t="shared" si="23"/>
        <v>72146</v>
      </c>
      <c r="AQ44" s="492">
        <f t="shared" si="23"/>
        <v>2135</v>
      </c>
      <c r="AR44" s="492">
        <f t="shared" si="23"/>
        <v>0</v>
      </c>
      <c r="AS44" s="609">
        <f>O44+AL44</f>
        <v>0.4</v>
      </c>
    </row>
    <row r="45" spans="1:45" ht="12.95" customHeight="1" x14ac:dyDescent="0.25">
      <c r="A45" s="205">
        <v>10</v>
      </c>
      <c r="B45" s="206">
        <v>4481</v>
      </c>
      <c r="C45" s="206">
        <v>600074722</v>
      </c>
      <c r="D45" s="206">
        <v>70942692</v>
      </c>
      <c r="E45" s="208" t="s">
        <v>311</v>
      </c>
      <c r="F45" s="206">
        <v>3113</v>
      </c>
      <c r="G45" s="209" t="s">
        <v>284</v>
      </c>
      <c r="H45" s="209" t="s">
        <v>263</v>
      </c>
      <c r="I45" s="580">
        <v>3685224</v>
      </c>
      <c r="J45" s="490">
        <v>2733846</v>
      </c>
      <c r="K45" s="554">
        <v>0</v>
      </c>
      <c r="L45" s="431">
        <v>924040</v>
      </c>
      <c r="M45" s="431">
        <v>27338</v>
      </c>
      <c r="N45" s="325">
        <v>0</v>
      </c>
      <c r="O45" s="719">
        <v>6.89</v>
      </c>
      <c r="P45" s="327">
        <f>W45*-1</f>
        <v>0</v>
      </c>
      <c r="Q45" s="492">
        <v>41342</v>
      </c>
      <c r="R45" s="325">
        <v>0</v>
      </c>
      <c r="S45" s="325">
        <v>0</v>
      </c>
      <c r="T45" s="325">
        <v>0</v>
      </c>
      <c r="U45" s="325">
        <v>0</v>
      </c>
      <c r="V45" s="492">
        <f>P45+Q45+R45+S45+T45+U45</f>
        <v>41342</v>
      </c>
      <c r="W45" s="325">
        <v>0</v>
      </c>
      <c r="X45" s="325">
        <v>0</v>
      </c>
      <c r="Y45" s="325">
        <v>0</v>
      </c>
      <c r="Z45" s="492">
        <f>W45+X45+Y45</f>
        <v>0</v>
      </c>
      <c r="AA45" s="492">
        <f>V45+Z45</f>
        <v>41342</v>
      </c>
      <c r="AB45" s="494">
        <f>ROUND((V45+Z45)*33.8%,0)</f>
        <v>13974</v>
      </c>
      <c r="AC45" s="494">
        <f>ROUND(V45*1%,0)</f>
        <v>413</v>
      </c>
      <c r="AD45" s="492">
        <v>0</v>
      </c>
      <c r="AE45" s="753">
        <f t="shared" si="22"/>
        <v>55729</v>
      </c>
      <c r="AF45" s="688">
        <v>0</v>
      </c>
      <c r="AG45" s="871">
        <v>0.1</v>
      </c>
      <c r="AH45" s="326">
        <v>0</v>
      </c>
      <c r="AI45" s="326">
        <v>0</v>
      </c>
      <c r="AJ45" s="326">
        <v>0</v>
      </c>
      <c r="AK45" s="326">
        <v>0</v>
      </c>
      <c r="AL45" s="609">
        <f>SUM(AF45:AK45)</f>
        <v>0.1</v>
      </c>
      <c r="AM45" s="676">
        <f>I45+AE45</f>
        <v>3740953</v>
      </c>
      <c r="AN45" s="492">
        <f>J45+V45</f>
        <v>2775188</v>
      </c>
      <c r="AO45" s="573">
        <f>K45+Z45</f>
        <v>0</v>
      </c>
      <c r="AP45" s="492">
        <f t="shared" si="23"/>
        <v>938014</v>
      </c>
      <c r="AQ45" s="492">
        <f t="shared" si="23"/>
        <v>27751</v>
      </c>
      <c r="AR45" s="492">
        <f t="shared" si="23"/>
        <v>0</v>
      </c>
      <c r="AS45" s="609">
        <f>O45+AL45</f>
        <v>6.9899999999999993</v>
      </c>
    </row>
    <row r="46" spans="1:45" ht="12.95" customHeight="1" x14ac:dyDescent="0.25">
      <c r="A46" s="205">
        <v>10</v>
      </c>
      <c r="B46" s="206">
        <v>4481</v>
      </c>
      <c r="C46" s="206">
        <v>600074722</v>
      </c>
      <c r="D46" s="206">
        <v>70942692</v>
      </c>
      <c r="E46" s="208" t="s">
        <v>311</v>
      </c>
      <c r="F46" s="206">
        <v>3143</v>
      </c>
      <c r="G46" s="209" t="s">
        <v>794</v>
      </c>
      <c r="H46" s="209" t="s">
        <v>262</v>
      </c>
      <c r="I46" s="580">
        <v>2195680</v>
      </c>
      <c r="J46" s="490">
        <v>1628843</v>
      </c>
      <c r="K46" s="554">
        <v>0</v>
      </c>
      <c r="L46" s="431">
        <v>550549</v>
      </c>
      <c r="M46" s="431">
        <v>16288</v>
      </c>
      <c r="N46" s="325">
        <v>0</v>
      </c>
      <c r="O46" s="719">
        <v>3.1071</v>
      </c>
      <c r="P46" s="327">
        <f>W46*-1</f>
        <v>0</v>
      </c>
      <c r="Q46" s="492">
        <v>0</v>
      </c>
      <c r="R46" s="325">
        <v>0</v>
      </c>
      <c r="S46" s="325">
        <v>0</v>
      </c>
      <c r="T46" s="325">
        <v>0</v>
      </c>
      <c r="U46" s="325">
        <v>0</v>
      </c>
      <c r="V46" s="492">
        <f>P46+Q46+R46+S46+T46+U46</f>
        <v>0</v>
      </c>
      <c r="W46" s="325">
        <v>0</v>
      </c>
      <c r="X46" s="325">
        <v>0</v>
      </c>
      <c r="Y46" s="325">
        <v>0</v>
      </c>
      <c r="Z46" s="492">
        <f>W46+X46+Y46</f>
        <v>0</v>
      </c>
      <c r="AA46" s="492">
        <f>V46+Z46</f>
        <v>0</v>
      </c>
      <c r="AB46" s="494">
        <f>ROUND((V46+Z46)*33.8%,0)</f>
        <v>0</v>
      </c>
      <c r="AC46" s="494">
        <f>ROUND(V46*1%,0)</f>
        <v>0</v>
      </c>
      <c r="AD46" s="492">
        <v>0</v>
      </c>
      <c r="AE46" s="753">
        <f t="shared" si="22"/>
        <v>0</v>
      </c>
      <c r="AF46" s="688">
        <v>0</v>
      </c>
      <c r="AG46" s="871">
        <v>0</v>
      </c>
      <c r="AH46" s="326">
        <v>0</v>
      </c>
      <c r="AI46" s="326">
        <v>0</v>
      </c>
      <c r="AJ46" s="326">
        <v>0</v>
      </c>
      <c r="AK46" s="326">
        <v>0</v>
      </c>
      <c r="AL46" s="609">
        <f>SUM(AF46:AK46)</f>
        <v>0</v>
      </c>
      <c r="AM46" s="676">
        <f>I46+AE46</f>
        <v>2195680</v>
      </c>
      <c r="AN46" s="492">
        <f>J46+V46</f>
        <v>1628843</v>
      </c>
      <c r="AO46" s="573">
        <f>K46+Z46</f>
        <v>0</v>
      </c>
      <c r="AP46" s="492">
        <f t="shared" si="23"/>
        <v>550549</v>
      </c>
      <c r="AQ46" s="492">
        <f t="shared" si="23"/>
        <v>16288</v>
      </c>
      <c r="AR46" s="492">
        <f t="shared" si="23"/>
        <v>0</v>
      </c>
      <c r="AS46" s="609">
        <f>O46+AL46</f>
        <v>3.1071</v>
      </c>
    </row>
    <row r="47" spans="1:45" ht="12.95" customHeight="1" x14ac:dyDescent="0.25">
      <c r="A47" s="198">
        <v>10</v>
      </c>
      <c r="B47" s="200">
        <v>4481</v>
      </c>
      <c r="C47" s="200">
        <v>600074722</v>
      </c>
      <c r="D47" s="200">
        <v>70942692</v>
      </c>
      <c r="E47" s="213" t="s">
        <v>312</v>
      </c>
      <c r="F47" s="216"/>
      <c r="G47" s="217"/>
      <c r="H47" s="217"/>
      <c r="I47" s="670">
        <v>31376186</v>
      </c>
      <c r="J47" s="353">
        <v>23276102</v>
      </c>
      <c r="K47" s="353">
        <v>0</v>
      </c>
      <c r="L47" s="353">
        <v>7867323</v>
      </c>
      <c r="M47" s="353">
        <v>232761</v>
      </c>
      <c r="N47" s="353">
        <v>0</v>
      </c>
      <c r="O47" s="215">
        <v>35.615000000000002</v>
      </c>
      <c r="P47" s="670">
        <f t="shared" ref="P47:AS47" si="25">SUM(P43:P46)</f>
        <v>0</v>
      </c>
      <c r="Q47" s="353">
        <f t="shared" si="25"/>
        <v>41342</v>
      </c>
      <c r="R47" s="353">
        <f t="shared" si="25"/>
        <v>0</v>
      </c>
      <c r="S47" s="353">
        <f t="shared" si="25"/>
        <v>0</v>
      </c>
      <c r="T47" s="353">
        <f t="shared" si="25"/>
        <v>0</v>
      </c>
      <c r="U47" s="353">
        <f t="shared" si="25"/>
        <v>0</v>
      </c>
      <c r="V47" s="353">
        <f t="shared" si="25"/>
        <v>41342</v>
      </c>
      <c r="W47" s="353">
        <f t="shared" si="25"/>
        <v>0</v>
      </c>
      <c r="X47" s="353">
        <f t="shared" si="25"/>
        <v>0</v>
      </c>
      <c r="Y47" s="353">
        <f t="shared" si="25"/>
        <v>0</v>
      </c>
      <c r="Z47" s="353">
        <f t="shared" si="25"/>
        <v>0</v>
      </c>
      <c r="AA47" s="353">
        <f t="shared" si="25"/>
        <v>41342</v>
      </c>
      <c r="AB47" s="353">
        <f t="shared" si="25"/>
        <v>13974</v>
      </c>
      <c r="AC47" s="353">
        <f t="shared" si="25"/>
        <v>413</v>
      </c>
      <c r="AD47" s="353">
        <f t="shared" si="25"/>
        <v>0</v>
      </c>
      <c r="AE47" s="667">
        <f t="shared" si="25"/>
        <v>55729</v>
      </c>
      <c r="AF47" s="794">
        <v>0</v>
      </c>
      <c r="AG47" s="872">
        <f t="shared" si="25"/>
        <v>0.1</v>
      </c>
      <c r="AH47" s="354">
        <f t="shared" si="25"/>
        <v>0</v>
      </c>
      <c r="AI47" s="354">
        <f t="shared" si="25"/>
        <v>0</v>
      </c>
      <c r="AJ47" s="354">
        <f t="shared" si="25"/>
        <v>0</v>
      </c>
      <c r="AK47" s="354">
        <f t="shared" si="25"/>
        <v>0</v>
      </c>
      <c r="AL47" s="215">
        <f t="shared" si="25"/>
        <v>0.1</v>
      </c>
      <c r="AM47" s="670">
        <f t="shared" si="25"/>
        <v>31431915</v>
      </c>
      <c r="AN47" s="353">
        <f t="shared" si="25"/>
        <v>23317444</v>
      </c>
      <c r="AO47" s="353">
        <f t="shared" si="25"/>
        <v>0</v>
      </c>
      <c r="AP47" s="353">
        <f t="shared" si="25"/>
        <v>7881297</v>
      </c>
      <c r="AQ47" s="353">
        <f t="shared" si="25"/>
        <v>233174</v>
      </c>
      <c r="AR47" s="353">
        <f t="shared" si="25"/>
        <v>0</v>
      </c>
      <c r="AS47" s="215">
        <f t="shared" si="25"/>
        <v>35.715000000000003</v>
      </c>
    </row>
    <row r="48" spans="1:45" ht="12.95" customHeight="1" x14ac:dyDescent="0.25">
      <c r="A48" s="205">
        <v>11</v>
      </c>
      <c r="B48" s="206">
        <v>4469</v>
      </c>
      <c r="C48" s="206">
        <v>600075079</v>
      </c>
      <c r="D48" s="206">
        <v>70695334</v>
      </c>
      <c r="E48" s="208" t="s">
        <v>313</v>
      </c>
      <c r="F48" s="206">
        <v>3231</v>
      </c>
      <c r="G48" s="209" t="s">
        <v>383</v>
      </c>
      <c r="H48" s="209" t="s">
        <v>262</v>
      </c>
      <c r="I48" s="580">
        <v>4098374</v>
      </c>
      <c r="J48" s="490">
        <v>3040337</v>
      </c>
      <c r="K48" s="554">
        <v>0</v>
      </c>
      <c r="L48" s="431">
        <v>1027634</v>
      </c>
      <c r="M48" s="431">
        <v>30403</v>
      </c>
      <c r="N48" s="325">
        <v>0</v>
      </c>
      <c r="O48" s="719">
        <v>4.5669000000000004</v>
      </c>
      <c r="P48" s="327">
        <f>W48*-1</f>
        <v>0</v>
      </c>
      <c r="Q48" s="492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>P48+Q48+R48+S48+T48+U48</f>
        <v>0</v>
      </c>
      <c r="W48" s="325">
        <v>0</v>
      </c>
      <c r="X48" s="325">
        <v>0</v>
      </c>
      <c r="Y48" s="325">
        <v>0</v>
      </c>
      <c r="Z48" s="492">
        <f>W48+X48+Y48</f>
        <v>0</v>
      </c>
      <c r="AA48" s="492">
        <f>V48+Z48</f>
        <v>0</v>
      </c>
      <c r="AB48" s="494">
        <f>ROUND((V48+Z48)*33.8%,0)</f>
        <v>0</v>
      </c>
      <c r="AC48" s="494">
        <f>ROUND(V48*1%,0)</f>
        <v>0</v>
      </c>
      <c r="AD48" s="492">
        <v>0</v>
      </c>
      <c r="AE48" s="753">
        <f>AA48+AB48+AC48+AD48</f>
        <v>0</v>
      </c>
      <c r="AF48" s="688">
        <v>0</v>
      </c>
      <c r="AG48" s="871">
        <v>0</v>
      </c>
      <c r="AH48" s="326">
        <v>0</v>
      </c>
      <c r="AI48" s="326">
        <v>0</v>
      </c>
      <c r="AJ48" s="326">
        <v>0</v>
      </c>
      <c r="AK48" s="326">
        <v>0</v>
      </c>
      <c r="AL48" s="609">
        <f>SUM(AF48:AK48)</f>
        <v>0</v>
      </c>
      <c r="AM48" s="676">
        <f>I48+AE48</f>
        <v>4098374</v>
      </c>
      <c r="AN48" s="492">
        <f>J48+V48</f>
        <v>3040337</v>
      </c>
      <c r="AO48" s="573">
        <f>K48+Z48</f>
        <v>0</v>
      </c>
      <c r="AP48" s="492">
        <f>L48+AB48</f>
        <v>1027634</v>
      </c>
      <c r="AQ48" s="492">
        <f>M48+AC48</f>
        <v>30403</v>
      </c>
      <c r="AR48" s="492">
        <f>N48+AD48</f>
        <v>0</v>
      </c>
      <c r="AS48" s="609">
        <f>O48+AL48</f>
        <v>4.5669000000000004</v>
      </c>
    </row>
    <row r="49" spans="1:45" ht="12.95" customHeight="1" x14ac:dyDescent="0.25">
      <c r="A49" s="198">
        <v>11</v>
      </c>
      <c r="B49" s="200">
        <v>4469</v>
      </c>
      <c r="C49" s="200">
        <v>600075079</v>
      </c>
      <c r="D49" s="200">
        <v>70695334</v>
      </c>
      <c r="E49" s="213" t="s">
        <v>314</v>
      </c>
      <c r="F49" s="216"/>
      <c r="G49" s="217"/>
      <c r="H49" s="217"/>
      <c r="I49" s="670">
        <v>4098374</v>
      </c>
      <c r="J49" s="353">
        <v>3040337</v>
      </c>
      <c r="K49" s="353">
        <v>0</v>
      </c>
      <c r="L49" s="353">
        <v>1027634</v>
      </c>
      <c r="M49" s="353">
        <v>30403</v>
      </c>
      <c r="N49" s="353">
        <v>0</v>
      </c>
      <c r="O49" s="781">
        <v>4.5669000000000004</v>
      </c>
      <c r="P49" s="670">
        <f t="shared" ref="P49:AS49" si="26">SUM(P48)</f>
        <v>0</v>
      </c>
      <c r="Q49" s="353">
        <f t="shared" si="26"/>
        <v>0</v>
      </c>
      <c r="R49" s="353">
        <f t="shared" si="26"/>
        <v>0</v>
      </c>
      <c r="S49" s="353">
        <f t="shared" si="26"/>
        <v>0</v>
      </c>
      <c r="T49" s="353">
        <f t="shared" si="26"/>
        <v>0</v>
      </c>
      <c r="U49" s="353">
        <f t="shared" si="26"/>
        <v>0</v>
      </c>
      <c r="V49" s="353">
        <f t="shared" si="26"/>
        <v>0</v>
      </c>
      <c r="W49" s="353">
        <f t="shared" si="26"/>
        <v>0</v>
      </c>
      <c r="X49" s="353">
        <f t="shared" si="26"/>
        <v>0</v>
      </c>
      <c r="Y49" s="353">
        <f t="shared" si="26"/>
        <v>0</v>
      </c>
      <c r="Z49" s="353">
        <f t="shared" si="26"/>
        <v>0</v>
      </c>
      <c r="AA49" s="353">
        <f t="shared" si="26"/>
        <v>0</v>
      </c>
      <c r="AB49" s="353">
        <f t="shared" si="26"/>
        <v>0</v>
      </c>
      <c r="AC49" s="353">
        <f t="shared" si="26"/>
        <v>0</v>
      </c>
      <c r="AD49" s="353">
        <f t="shared" si="26"/>
        <v>0</v>
      </c>
      <c r="AE49" s="667">
        <f t="shared" si="26"/>
        <v>0</v>
      </c>
      <c r="AF49" s="794">
        <v>0</v>
      </c>
      <c r="AG49" s="872">
        <f t="shared" si="26"/>
        <v>0</v>
      </c>
      <c r="AH49" s="354">
        <f t="shared" si="26"/>
        <v>0</v>
      </c>
      <c r="AI49" s="354">
        <f t="shared" si="26"/>
        <v>0</v>
      </c>
      <c r="AJ49" s="354">
        <f t="shared" si="26"/>
        <v>0</v>
      </c>
      <c r="AK49" s="354">
        <f t="shared" si="26"/>
        <v>0</v>
      </c>
      <c r="AL49" s="215">
        <f t="shared" si="26"/>
        <v>0</v>
      </c>
      <c r="AM49" s="670">
        <f t="shared" si="26"/>
        <v>4098374</v>
      </c>
      <c r="AN49" s="353">
        <f t="shared" si="26"/>
        <v>3040337</v>
      </c>
      <c r="AO49" s="353">
        <f t="shared" si="26"/>
        <v>0</v>
      </c>
      <c r="AP49" s="353">
        <f t="shared" si="26"/>
        <v>1027634</v>
      </c>
      <c r="AQ49" s="353">
        <f t="shared" si="26"/>
        <v>30403</v>
      </c>
      <c r="AR49" s="353">
        <f t="shared" si="26"/>
        <v>0</v>
      </c>
      <c r="AS49" s="215">
        <f t="shared" si="26"/>
        <v>4.5669000000000004</v>
      </c>
    </row>
    <row r="50" spans="1:45" ht="12.95" customHeight="1" x14ac:dyDescent="0.25">
      <c r="A50" s="205">
        <v>12</v>
      </c>
      <c r="B50" s="206">
        <v>4451</v>
      </c>
      <c r="C50" s="206">
        <v>600074927</v>
      </c>
      <c r="D50" s="206">
        <v>49864653</v>
      </c>
      <c r="E50" s="208" t="s">
        <v>315</v>
      </c>
      <c r="F50" s="206">
        <v>3111</v>
      </c>
      <c r="G50" s="209" t="s">
        <v>290</v>
      </c>
      <c r="H50" s="209" t="s">
        <v>262</v>
      </c>
      <c r="I50" s="580">
        <v>7798718</v>
      </c>
      <c r="J50" s="490">
        <v>5749666</v>
      </c>
      <c r="K50" s="554">
        <v>36000</v>
      </c>
      <c r="L50" s="431">
        <v>1955555</v>
      </c>
      <c r="M50" s="431">
        <v>57497</v>
      </c>
      <c r="N50" s="325">
        <v>0</v>
      </c>
      <c r="O50" s="719">
        <v>9.7081</v>
      </c>
      <c r="P50" s="327">
        <f t="shared" ref="P50:P53" si="27">W50*-1</f>
        <v>-24000</v>
      </c>
      <c r="Q50" s="492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>P50+Q50+R50+S50+T50+U50</f>
        <v>-24000</v>
      </c>
      <c r="W50" s="325">
        <v>24000</v>
      </c>
      <c r="X50" s="325">
        <v>0</v>
      </c>
      <c r="Y50" s="325">
        <v>0</v>
      </c>
      <c r="Z50" s="492">
        <f>W50+X50+Y50</f>
        <v>24000</v>
      </c>
      <c r="AA50" s="492">
        <f>V50+Z50</f>
        <v>0</v>
      </c>
      <c r="AB50" s="494">
        <f>ROUND((V50+Z50)*33.8%,0)</f>
        <v>0</v>
      </c>
      <c r="AC50" s="494">
        <f>ROUND(V50*1%,0)</f>
        <v>-240</v>
      </c>
      <c r="AD50" s="492">
        <v>0</v>
      </c>
      <c r="AE50" s="753">
        <f t="shared" ref="AE50:AE53" si="28">AA50+AB50+AC50+AD50</f>
        <v>-240</v>
      </c>
      <c r="AF50" s="688">
        <v>-0.03</v>
      </c>
      <c r="AG50" s="871">
        <v>0</v>
      </c>
      <c r="AH50" s="326">
        <v>0</v>
      </c>
      <c r="AI50" s="326">
        <v>0</v>
      </c>
      <c r="AJ50" s="326">
        <v>0</v>
      </c>
      <c r="AK50" s="326">
        <v>0</v>
      </c>
      <c r="AL50" s="609">
        <f>SUM(AF50:AK50)</f>
        <v>-0.03</v>
      </c>
      <c r="AM50" s="676">
        <f>I50+AE50</f>
        <v>7798478</v>
      </c>
      <c r="AN50" s="492">
        <f>J50+V50</f>
        <v>5725666</v>
      </c>
      <c r="AO50" s="573">
        <f>K50+Z50</f>
        <v>60000</v>
      </c>
      <c r="AP50" s="492">
        <f t="shared" ref="AP50:AR53" si="29">L50+AB50</f>
        <v>1955555</v>
      </c>
      <c r="AQ50" s="492">
        <f t="shared" si="29"/>
        <v>57257</v>
      </c>
      <c r="AR50" s="492">
        <f t="shared" si="29"/>
        <v>0</v>
      </c>
      <c r="AS50" s="609">
        <f>O50+AL50</f>
        <v>9.6781000000000006</v>
      </c>
    </row>
    <row r="51" spans="1:45" ht="12.95" customHeight="1" x14ac:dyDescent="0.25">
      <c r="A51" s="205">
        <v>12</v>
      </c>
      <c r="B51" s="206">
        <v>4451</v>
      </c>
      <c r="C51" s="206">
        <v>600074927</v>
      </c>
      <c r="D51" s="206">
        <v>49864653</v>
      </c>
      <c r="E51" s="208" t="s">
        <v>315</v>
      </c>
      <c r="F51" s="206">
        <v>3113</v>
      </c>
      <c r="G51" s="209" t="s">
        <v>294</v>
      </c>
      <c r="H51" s="209" t="s">
        <v>262</v>
      </c>
      <c r="I51" s="580">
        <v>26431636</v>
      </c>
      <c r="J51" s="490">
        <v>19562777</v>
      </c>
      <c r="K51" s="554">
        <v>45600</v>
      </c>
      <c r="L51" s="431">
        <v>6627631</v>
      </c>
      <c r="M51" s="431">
        <v>195628</v>
      </c>
      <c r="N51" s="325">
        <v>0</v>
      </c>
      <c r="O51" s="719">
        <v>27.076700000000002</v>
      </c>
      <c r="P51" s="327">
        <f t="shared" si="27"/>
        <v>-30400</v>
      </c>
      <c r="Q51" s="492">
        <v>0</v>
      </c>
      <c r="R51" s="325">
        <v>0</v>
      </c>
      <c r="S51" s="325">
        <v>0</v>
      </c>
      <c r="T51" s="325">
        <v>0</v>
      </c>
      <c r="U51" s="325">
        <v>0</v>
      </c>
      <c r="V51" s="492">
        <f>P51+Q51+R51+S51+T51+U51</f>
        <v>-30400</v>
      </c>
      <c r="W51" s="325">
        <v>30400</v>
      </c>
      <c r="X51" s="325">
        <v>0</v>
      </c>
      <c r="Y51" s="325">
        <v>138450</v>
      </c>
      <c r="Z51" s="492">
        <f>W51+X51+Y51</f>
        <v>168850</v>
      </c>
      <c r="AA51" s="492">
        <f>V51+Z51</f>
        <v>138450</v>
      </c>
      <c r="AB51" s="494">
        <f>ROUND((V51+Z51)*33.8%,0)</f>
        <v>46796</v>
      </c>
      <c r="AC51" s="494">
        <f>ROUND(V51*1%,0)</f>
        <v>-304</v>
      </c>
      <c r="AD51" s="492">
        <v>0</v>
      </c>
      <c r="AE51" s="753">
        <f t="shared" si="28"/>
        <v>184942</v>
      </c>
      <c r="AF51" s="688">
        <v>-4.0000000000000008E-2</v>
      </c>
      <c r="AG51" s="871">
        <v>0</v>
      </c>
      <c r="AH51" s="326">
        <v>0</v>
      </c>
      <c r="AI51" s="326">
        <v>0</v>
      </c>
      <c r="AJ51" s="326">
        <v>0</v>
      </c>
      <c r="AK51" s="326">
        <v>0</v>
      </c>
      <c r="AL51" s="609">
        <f>SUM(AF51:AK51)</f>
        <v>-4.0000000000000008E-2</v>
      </c>
      <c r="AM51" s="676">
        <f>I51+AE51</f>
        <v>26616578</v>
      </c>
      <c r="AN51" s="492">
        <f>J51+V51</f>
        <v>19532377</v>
      </c>
      <c r="AO51" s="573">
        <f>K51+Z51</f>
        <v>214450</v>
      </c>
      <c r="AP51" s="492">
        <f t="shared" si="29"/>
        <v>6674427</v>
      </c>
      <c r="AQ51" s="492">
        <f t="shared" si="29"/>
        <v>195324</v>
      </c>
      <c r="AR51" s="492">
        <f t="shared" si="29"/>
        <v>0</v>
      </c>
      <c r="AS51" s="609">
        <f>O51+AL51</f>
        <v>27.036700000000003</v>
      </c>
    </row>
    <row r="52" spans="1:45" ht="12.95" customHeight="1" x14ac:dyDescent="0.25">
      <c r="A52" s="205">
        <v>12</v>
      </c>
      <c r="B52" s="206">
        <v>4451</v>
      </c>
      <c r="C52" s="206">
        <v>600074927</v>
      </c>
      <c r="D52" s="206">
        <v>49864653</v>
      </c>
      <c r="E52" s="208" t="s">
        <v>315</v>
      </c>
      <c r="F52" s="206">
        <v>3113</v>
      </c>
      <c r="G52" s="209" t="s">
        <v>284</v>
      </c>
      <c r="H52" s="209" t="s">
        <v>263</v>
      </c>
      <c r="I52" s="580">
        <v>5883579</v>
      </c>
      <c r="J52" s="490">
        <v>4364673</v>
      </c>
      <c r="K52" s="554">
        <v>0</v>
      </c>
      <c r="L52" s="431">
        <v>1475259</v>
      </c>
      <c r="M52" s="431">
        <v>43647</v>
      </c>
      <c r="N52" s="325">
        <v>0</v>
      </c>
      <c r="O52" s="719">
        <v>11.51</v>
      </c>
      <c r="P52" s="327">
        <f t="shared" si="27"/>
        <v>0</v>
      </c>
      <c r="Q52" s="492">
        <v>297635</v>
      </c>
      <c r="R52" s="325">
        <v>0</v>
      </c>
      <c r="S52" s="325">
        <v>0</v>
      </c>
      <c r="T52" s="325">
        <v>0</v>
      </c>
      <c r="U52" s="325">
        <v>0</v>
      </c>
      <c r="V52" s="492">
        <f>P52+Q52+R52+S52+T52+U52</f>
        <v>297635</v>
      </c>
      <c r="W52" s="325">
        <v>0</v>
      </c>
      <c r="X52" s="325">
        <v>0</v>
      </c>
      <c r="Y52" s="325">
        <v>0</v>
      </c>
      <c r="Z52" s="492">
        <f>W52+X52+Y52</f>
        <v>0</v>
      </c>
      <c r="AA52" s="492">
        <f>V52+Z52</f>
        <v>297635</v>
      </c>
      <c r="AB52" s="494">
        <f>ROUND((V52+Z52)*33.8%,0)</f>
        <v>100601</v>
      </c>
      <c r="AC52" s="494">
        <f>ROUND(V52*1%,0)</f>
        <v>2976</v>
      </c>
      <c r="AD52" s="492">
        <v>0</v>
      </c>
      <c r="AE52" s="753">
        <f t="shared" si="28"/>
        <v>401212</v>
      </c>
      <c r="AF52" s="688">
        <v>0</v>
      </c>
      <c r="AG52" s="871">
        <v>0.75</v>
      </c>
      <c r="AH52" s="326">
        <v>0</v>
      </c>
      <c r="AI52" s="326">
        <v>0</v>
      </c>
      <c r="AJ52" s="326">
        <v>0</v>
      </c>
      <c r="AK52" s="326">
        <v>0</v>
      </c>
      <c r="AL52" s="609">
        <f>SUM(AF52:AK52)</f>
        <v>0.75</v>
      </c>
      <c r="AM52" s="676">
        <f>I52+AE52</f>
        <v>6284791</v>
      </c>
      <c r="AN52" s="492">
        <f>J52+V52</f>
        <v>4662308</v>
      </c>
      <c r="AO52" s="573">
        <f>K52+Z52</f>
        <v>0</v>
      </c>
      <c r="AP52" s="492">
        <f t="shared" si="29"/>
        <v>1575860</v>
      </c>
      <c r="AQ52" s="492">
        <f t="shared" si="29"/>
        <v>46623</v>
      </c>
      <c r="AR52" s="492">
        <f t="shared" si="29"/>
        <v>0</v>
      </c>
      <c r="AS52" s="609">
        <f>O52+AL52</f>
        <v>12.26</v>
      </c>
    </row>
    <row r="53" spans="1:45" ht="12.95" customHeight="1" x14ac:dyDescent="0.25">
      <c r="A53" s="205">
        <v>12</v>
      </c>
      <c r="B53" s="206">
        <v>4451</v>
      </c>
      <c r="C53" s="206">
        <v>600074927</v>
      </c>
      <c r="D53" s="206">
        <v>49864653</v>
      </c>
      <c r="E53" s="208" t="s">
        <v>315</v>
      </c>
      <c r="F53" s="206">
        <v>3143</v>
      </c>
      <c r="G53" s="209" t="s">
        <v>794</v>
      </c>
      <c r="H53" s="209" t="s">
        <v>262</v>
      </c>
      <c r="I53" s="580">
        <v>2526601</v>
      </c>
      <c r="J53" s="490">
        <v>1874333</v>
      </c>
      <c r="K53" s="554">
        <v>0</v>
      </c>
      <c r="L53" s="431">
        <v>633525</v>
      </c>
      <c r="M53" s="431">
        <v>18743</v>
      </c>
      <c r="N53" s="325">
        <v>0</v>
      </c>
      <c r="O53" s="719">
        <v>3.5</v>
      </c>
      <c r="P53" s="327">
        <f t="shared" si="27"/>
        <v>0</v>
      </c>
      <c r="Q53" s="492">
        <v>0</v>
      </c>
      <c r="R53" s="325">
        <v>0</v>
      </c>
      <c r="S53" s="325">
        <v>0</v>
      </c>
      <c r="T53" s="325">
        <v>0</v>
      </c>
      <c r="U53" s="325">
        <v>0</v>
      </c>
      <c r="V53" s="492">
        <f>P53+Q53+R53+S53+T53+U53</f>
        <v>0</v>
      </c>
      <c r="W53" s="325">
        <v>0</v>
      </c>
      <c r="X53" s="325">
        <v>0</v>
      </c>
      <c r="Y53" s="325">
        <v>0</v>
      </c>
      <c r="Z53" s="492">
        <f>W53+X53+Y53</f>
        <v>0</v>
      </c>
      <c r="AA53" s="492">
        <f>V53+Z53</f>
        <v>0</v>
      </c>
      <c r="AB53" s="494">
        <f>ROUND((V53+Z53)*33.8%,0)</f>
        <v>0</v>
      </c>
      <c r="AC53" s="494">
        <f>ROUND(V53*1%,0)</f>
        <v>0</v>
      </c>
      <c r="AD53" s="492">
        <v>0</v>
      </c>
      <c r="AE53" s="753">
        <f t="shared" si="28"/>
        <v>0</v>
      </c>
      <c r="AF53" s="688">
        <v>0</v>
      </c>
      <c r="AG53" s="871">
        <v>0</v>
      </c>
      <c r="AH53" s="326">
        <v>0</v>
      </c>
      <c r="AI53" s="326">
        <v>0</v>
      </c>
      <c r="AJ53" s="326">
        <v>0</v>
      </c>
      <c r="AK53" s="326">
        <v>0</v>
      </c>
      <c r="AL53" s="609">
        <f>SUM(AF53:AK53)</f>
        <v>0</v>
      </c>
      <c r="AM53" s="676">
        <f>I53+AE53</f>
        <v>2526601</v>
      </c>
      <c r="AN53" s="492">
        <f>J53+V53</f>
        <v>1874333</v>
      </c>
      <c r="AO53" s="573">
        <f>K53+Z53</f>
        <v>0</v>
      </c>
      <c r="AP53" s="492">
        <f t="shared" si="29"/>
        <v>633525</v>
      </c>
      <c r="AQ53" s="492">
        <f t="shared" si="29"/>
        <v>18743</v>
      </c>
      <c r="AR53" s="492">
        <f t="shared" si="29"/>
        <v>0</v>
      </c>
      <c r="AS53" s="609">
        <f>O53+AL53</f>
        <v>3.5</v>
      </c>
    </row>
    <row r="54" spans="1:45" ht="12.95" customHeight="1" x14ac:dyDescent="0.25">
      <c r="A54" s="198">
        <v>12</v>
      </c>
      <c r="B54" s="200">
        <v>4451</v>
      </c>
      <c r="C54" s="200">
        <v>600074927</v>
      </c>
      <c r="D54" s="200">
        <v>49864653</v>
      </c>
      <c r="E54" s="213" t="s">
        <v>316</v>
      </c>
      <c r="F54" s="216"/>
      <c r="G54" s="217"/>
      <c r="H54" s="217"/>
      <c r="I54" s="670">
        <v>42640534</v>
      </c>
      <c r="J54" s="353">
        <v>31551449</v>
      </c>
      <c r="K54" s="353">
        <v>81600</v>
      </c>
      <c r="L54" s="353">
        <v>10691970</v>
      </c>
      <c r="M54" s="353">
        <v>315515</v>
      </c>
      <c r="N54" s="353">
        <v>0</v>
      </c>
      <c r="O54" s="781">
        <v>51.794800000000002</v>
      </c>
      <c r="P54" s="670">
        <f t="shared" ref="P54:AS54" si="30">SUM(P50:P53)</f>
        <v>-54400</v>
      </c>
      <c r="Q54" s="353">
        <f t="shared" si="30"/>
        <v>297635</v>
      </c>
      <c r="R54" s="353">
        <f t="shared" si="30"/>
        <v>0</v>
      </c>
      <c r="S54" s="353">
        <f t="shared" si="30"/>
        <v>0</v>
      </c>
      <c r="T54" s="353">
        <f t="shared" si="30"/>
        <v>0</v>
      </c>
      <c r="U54" s="353">
        <f t="shared" si="30"/>
        <v>0</v>
      </c>
      <c r="V54" s="353">
        <f t="shared" si="30"/>
        <v>243235</v>
      </c>
      <c r="W54" s="353">
        <f t="shared" si="30"/>
        <v>54400</v>
      </c>
      <c r="X54" s="353">
        <f t="shared" si="30"/>
        <v>0</v>
      </c>
      <c r="Y54" s="353">
        <f t="shared" si="30"/>
        <v>138450</v>
      </c>
      <c r="Z54" s="353">
        <f t="shared" si="30"/>
        <v>192850</v>
      </c>
      <c r="AA54" s="353">
        <f t="shared" si="30"/>
        <v>436085</v>
      </c>
      <c r="AB54" s="353">
        <f t="shared" si="30"/>
        <v>147397</v>
      </c>
      <c r="AC54" s="353">
        <f t="shared" si="30"/>
        <v>2432</v>
      </c>
      <c r="AD54" s="353">
        <f t="shared" si="30"/>
        <v>0</v>
      </c>
      <c r="AE54" s="667">
        <f t="shared" si="30"/>
        <v>585914</v>
      </c>
      <c r="AF54" s="794">
        <f t="shared" si="30"/>
        <v>-7.0000000000000007E-2</v>
      </c>
      <c r="AG54" s="872">
        <f t="shared" si="30"/>
        <v>0.75</v>
      </c>
      <c r="AH54" s="354">
        <f t="shared" si="30"/>
        <v>0</v>
      </c>
      <c r="AI54" s="354">
        <f t="shared" si="30"/>
        <v>0</v>
      </c>
      <c r="AJ54" s="354">
        <f t="shared" si="30"/>
        <v>0</v>
      </c>
      <c r="AK54" s="354">
        <f t="shared" si="30"/>
        <v>0</v>
      </c>
      <c r="AL54" s="215">
        <f t="shared" si="30"/>
        <v>0.67999999999999994</v>
      </c>
      <c r="AM54" s="670">
        <f t="shared" si="30"/>
        <v>43226448</v>
      </c>
      <c r="AN54" s="353">
        <f t="shared" si="30"/>
        <v>31794684</v>
      </c>
      <c r="AO54" s="353">
        <f t="shared" si="30"/>
        <v>274450</v>
      </c>
      <c r="AP54" s="353">
        <f t="shared" si="30"/>
        <v>10839367</v>
      </c>
      <c r="AQ54" s="353">
        <f t="shared" si="30"/>
        <v>317947</v>
      </c>
      <c r="AR54" s="353">
        <f t="shared" si="30"/>
        <v>0</v>
      </c>
      <c r="AS54" s="215">
        <f t="shared" si="30"/>
        <v>52.474800000000002</v>
      </c>
    </row>
    <row r="55" spans="1:45" ht="12.95" customHeight="1" x14ac:dyDescent="0.25">
      <c r="A55" s="205">
        <v>13</v>
      </c>
      <c r="B55" s="206">
        <v>4450</v>
      </c>
      <c r="C55" s="206">
        <v>650033841</v>
      </c>
      <c r="D55" s="206">
        <v>72744995</v>
      </c>
      <c r="E55" s="208" t="s">
        <v>317</v>
      </c>
      <c r="F55" s="206">
        <v>3111</v>
      </c>
      <c r="G55" s="209" t="s">
        <v>318</v>
      </c>
      <c r="H55" s="209" t="s">
        <v>262</v>
      </c>
      <c r="I55" s="580">
        <v>1551024</v>
      </c>
      <c r="J55" s="490">
        <v>1139892</v>
      </c>
      <c r="K55" s="554">
        <v>10800</v>
      </c>
      <c r="L55" s="431">
        <v>388933</v>
      </c>
      <c r="M55" s="431">
        <v>11399</v>
      </c>
      <c r="N55" s="325">
        <v>0</v>
      </c>
      <c r="O55" s="719">
        <v>1.9355</v>
      </c>
      <c r="P55" s="327">
        <f t="shared" ref="P55:P58" si="31">W55*-1</f>
        <v>-7200</v>
      </c>
      <c r="Q55" s="492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>P55+Q55+R55+S55+T55+U55</f>
        <v>-7200</v>
      </c>
      <c r="W55" s="325">
        <v>7200</v>
      </c>
      <c r="X55" s="325">
        <v>0</v>
      </c>
      <c r="Y55" s="325">
        <v>0</v>
      </c>
      <c r="Z55" s="492">
        <f>W55+X55+Y55</f>
        <v>7200</v>
      </c>
      <c r="AA55" s="492">
        <f>V55+Z55</f>
        <v>0</v>
      </c>
      <c r="AB55" s="494">
        <f>ROUND((V55+Z55)*33.8%,0)</f>
        <v>0</v>
      </c>
      <c r="AC55" s="494">
        <f>ROUND(V55*1%,0)</f>
        <v>-72</v>
      </c>
      <c r="AD55" s="492">
        <v>0</v>
      </c>
      <c r="AE55" s="753">
        <f t="shared" ref="AE55:AE58" si="32">AA55+AB55+AC55+AD55</f>
        <v>-72</v>
      </c>
      <c r="AF55" s="688">
        <v>0</v>
      </c>
      <c r="AG55" s="871">
        <v>0</v>
      </c>
      <c r="AH55" s="326">
        <v>0</v>
      </c>
      <c r="AI55" s="326">
        <v>0</v>
      </c>
      <c r="AJ55" s="326">
        <v>0</v>
      </c>
      <c r="AK55" s="326">
        <v>0</v>
      </c>
      <c r="AL55" s="609">
        <f>SUM(AF55:AK55)</f>
        <v>0</v>
      </c>
      <c r="AM55" s="676">
        <f>I55+AE55</f>
        <v>1550952</v>
      </c>
      <c r="AN55" s="492">
        <f>J55+V55</f>
        <v>1132692</v>
      </c>
      <c r="AO55" s="573">
        <f>K55+Z55</f>
        <v>18000</v>
      </c>
      <c r="AP55" s="492">
        <f t="shared" ref="AP55:AR58" si="33">L55+AB55</f>
        <v>388933</v>
      </c>
      <c r="AQ55" s="492">
        <f t="shared" si="33"/>
        <v>11327</v>
      </c>
      <c r="AR55" s="492">
        <f t="shared" si="33"/>
        <v>0</v>
      </c>
      <c r="AS55" s="609">
        <f>O55+AL55</f>
        <v>1.9355</v>
      </c>
    </row>
    <row r="56" spans="1:45" ht="12.95" customHeight="1" x14ac:dyDescent="0.25">
      <c r="A56" s="205">
        <v>13</v>
      </c>
      <c r="B56" s="206">
        <v>4450</v>
      </c>
      <c r="C56" s="206">
        <v>650033841</v>
      </c>
      <c r="D56" s="206">
        <v>72744995</v>
      </c>
      <c r="E56" s="208" t="s">
        <v>317</v>
      </c>
      <c r="F56" s="206">
        <v>3117</v>
      </c>
      <c r="G56" s="209" t="s">
        <v>294</v>
      </c>
      <c r="H56" s="209" t="s">
        <v>262</v>
      </c>
      <c r="I56" s="580">
        <v>3149272</v>
      </c>
      <c r="J56" s="490">
        <v>2332086</v>
      </c>
      <c r="K56" s="554">
        <v>4200</v>
      </c>
      <c r="L56" s="431">
        <v>789665</v>
      </c>
      <c r="M56" s="431">
        <v>23321</v>
      </c>
      <c r="N56" s="325">
        <v>0</v>
      </c>
      <c r="O56" s="719">
        <v>3.5909</v>
      </c>
      <c r="P56" s="327">
        <f t="shared" si="31"/>
        <v>-2800</v>
      </c>
      <c r="Q56" s="492">
        <v>0</v>
      </c>
      <c r="R56" s="325">
        <v>0</v>
      </c>
      <c r="S56" s="325">
        <v>0</v>
      </c>
      <c r="T56" s="325">
        <v>0</v>
      </c>
      <c r="U56" s="325">
        <v>0</v>
      </c>
      <c r="V56" s="492">
        <f>P56+Q56+R56+S56+T56+U56</f>
        <v>-2800</v>
      </c>
      <c r="W56" s="325">
        <v>2800</v>
      </c>
      <c r="X56" s="325">
        <v>0</v>
      </c>
      <c r="Y56" s="325">
        <v>0</v>
      </c>
      <c r="Z56" s="492">
        <f>W56+X56+Y56</f>
        <v>2800</v>
      </c>
      <c r="AA56" s="492">
        <f>V56+Z56</f>
        <v>0</v>
      </c>
      <c r="AB56" s="494">
        <f>ROUND((V56+Z56)*33.8%,0)</f>
        <v>0</v>
      </c>
      <c r="AC56" s="494">
        <f>ROUND(V56*1%,0)</f>
        <v>-28</v>
      </c>
      <c r="AD56" s="492">
        <v>0</v>
      </c>
      <c r="AE56" s="753">
        <f t="shared" si="32"/>
        <v>-28</v>
      </c>
      <c r="AF56" s="688">
        <v>0</v>
      </c>
      <c r="AG56" s="871">
        <v>0</v>
      </c>
      <c r="AH56" s="326">
        <v>0</v>
      </c>
      <c r="AI56" s="326">
        <v>0</v>
      </c>
      <c r="AJ56" s="326">
        <v>0</v>
      </c>
      <c r="AK56" s="326">
        <v>0</v>
      </c>
      <c r="AL56" s="609">
        <f>SUM(AF56:AK56)</f>
        <v>0</v>
      </c>
      <c r="AM56" s="676">
        <f>I56+AE56</f>
        <v>3149244</v>
      </c>
      <c r="AN56" s="492">
        <f>J56+V56</f>
        <v>2329286</v>
      </c>
      <c r="AO56" s="573">
        <f>K56+Z56</f>
        <v>7000</v>
      </c>
      <c r="AP56" s="492">
        <f t="shared" si="33"/>
        <v>789665</v>
      </c>
      <c r="AQ56" s="492">
        <f t="shared" si="33"/>
        <v>23293</v>
      </c>
      <c r="AR56" s="492">
        <f t="shared" si="33"/>
        <v>0</v>
      </c>
      <c r="AS56" s="609">
        <f>O56+AL56</f>
        <v>3.5909</v>
      </c>
    </row>
    <row r="57" spans="1:45" ht="12.95" customHeight="1" x14ac:dyDescent="0.25">
      <c r="A57" s="205">
        <v>13</v>
      </c>
      <c r="B57" s="206">
        <v>4450</v>
      </c>
      <c r="C57" s="206">
        <v>650033841</v>
      </c>
      <c r="D57" s="206">
        <v>72744995</v>
      </c>
      <c r="E57" s="208" t="s">
        <v>317</v>
      </c>
      <c r="F57" s="206">
        <v>3117</v>
      </c>
      <c r="G57" s="209" t="s">
        <v>284</v>
      </c>
      <c r="H57" s="209" t="s">
        <v>263</v>
      </c>
      <c r="I57" s="580">
        <v>267475</v>
      </c>
      <c r="J57" s="490">
        <v>198424</v>
      </c>
      <c r="K57" s="554">
        <v>0</v>
      </c>
      <c r="L57" s="431">
        <v>67067</v>
      </c>
      <c r="M57" s="431">
        <v>1984</v>
      </c>
      <c r="N57" s="325">
        <v>0</v>
      </c>
      <c r="O57" s="719">
        <v>0.5</v>
      </c>
      <c r="P57" s="327">
        <f t="shared" si="31"/>
        <v>0</v>
      </c>
      <c r="Q57" s="492">
        <v>165353</v>
      </c>
      <c r="R57" s="325">
        <v>0</v>
      </c>
      <c r="S57" s="325">
        <v>0</v>
      </c>
      <c r="T57" s="325">
        <v>0</v>
      </c>
      <c r="U57" s="325">
        <v>0</v>
      </c>
      <c r="V57" s="492">
        <f>P57+Q57+R57+S57+T57+U57</f>
        <v>165353</v>
      </c>
      <c r="W57" s="325">
        <v>0</v>
      </c>
      <c r="X57" s="325">
        <v>0</v>
      </c>
      <c r="Y57" s="325">
        <v>0</v>
      </c>
      <c r="Z57" s="492">
        <f>W57+X57+Y57</f>
        <v>0</v>
      </c>
      <c r="AA57" s="492">
        <f>V57+Z57</f>
        <v>165353</v>
      </c>
      <c r="AB57" s="494">
        <f>ROUND((V57+Z57)*33.8%,0)</f>
        <v>55889</v>
      </c>
      <c r="AC57" s="494">
        <f>ROUND(V57*1%,0)</f>
        <v>1654</v>
      </c>
      <c r="AD57" s="492">
        <v>0</v>
      </c>
      <c r="AE57" s="753">
        <f t="shared" si="32"/>
        <v>222896</v>
      </c>
      <c r="AF57" s="688">
        <v>0</v>
      </c>
      <c r="AG57" s="871">
        <v>0.42</v>
      </c>
      <c r="AH57" s="326">
        <v>0</v>
      </c>
      <c r="AI57" s="326">
        <v>0</v>
      </c>
      <c r="AJ57" s="326">
        <v>0</v>
      </c>
      <c r="AK57" s="326">
        <v>0</v>
      </c>
      <c r="AL57" s="609">
        <f>SUM(AF57:AK57)</f>
        <v>0.42</v>
      </c>
      <c r="AM57" s="676">
        <f>I57+AE57</f>
        <v>490371</v>
      </c>
      <c r="AN57" s="492">
        <f>J57+V57</f>
        <v>363777</v>
      </c>
      <c r="AO57" s="573">
        <f>K57+Z57</f>
        <v>0</v>
      </c>
      <c r="AP57" s="492">
        <f t="shared" si="33"/>
        <v>122956</v>
      </c>
      <c r="AQ57" s="492">
        <f t="shared" si="33"/>
        <v>3638</v>
      </c>
      <c r="AR57" s="492">
        <f t="shared" si="33"/>
        <v>0</v>
      </c>
      <c r="AS57" s="609">
        <f>O57+AL57</f>
        <v>0.91999999999999993</v>
      </c>
    </row>
    <row r="58" spans="1:45" ht="12.95" customHeight="1" x14ac:dyDescent="0.25">
      <c r="A58" s="205">
        <v>13</v>
      </c>
      <c r="B58" s="206">
        <v>4450</v>
      </c>
      <c r="C58" s="206">
        <v>650033841</v>
      </c>
      <c r="D58" s="206">
        <v>72744995</v>
      </c>
      <c r="E58" s="208" t="s">
        <v>317</v>
      </c>
      <c r="F58" s="206">
        <v>3143</v>
      </c>
      <c r="G58" s="209" t="s">
        <v>795</v>
      </c>
      <c r="H58" s="209" t="s">
        <v>262</v>
      </c>
      <c r="I58" s="580">
        <v>450351</v>
      </c>
      <c r="J58" s="490">
        <v>334088</v>
      </c>
      <c r="K58" s="554">
        <v>0</v>
      </c>
      <c r="L58" s="431">
        <v>112922</v>
      </c>
      <c r="M58" s="431">
        <v>3341</v>
      </c>
      <c r="N58" s="325">
        <v>0</v>
      </c>
      <c r="O58" s="719">
        <v>0.66659999999999997</v>
      </c>
      <c r="P58" s="327">
        <f t="shared" si="31"/>
        <v>0</v>
      </c>
      <c r="Q58" s="492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>P58+Q58+R58+S58+T58+U58</f>
        <v>0</v>
      </c>
      <c r="W58" s="325">
        <v>0</v>
      </c>
      <c r="X58" s="325">
        <v>0</v>
      </c>
      <c r="Y58" s="325">
        <v>0</v>
      </c>
      <c r="Z58" s="492">
        <f>W58+X58+Y58</f>
        <v>0</v>
      </c>
      <c r="AA58" s="492">
        <f>V58+Z58</f>
        <v>0</v>
      </c>
      <c r="AB58" s="494">
        <f>ROUND((V58+Z58)*33.8%,0)</f>
        <v>0</v>
      </c>
      <c r="AC58" s="494">
        <f>ROUND(V58*1%,0)</f>
        <v>0</v>
      </c>
      <c r="AD58" s="492">
        <v>0</v>
      </c>
      <c r="AE58" s="753">
        <f t="shared" si="32"/>
        <v>0</v>
      </c>
      <c r="AF58" s="688">
        <v>0</v>
      </c>
      <c r="AG58" s="871">
        <v>0</v>
      </c>
      <c r="AH58" s="326">
        <v>0</v>
      </c>
      <c r="AI58" s="326">
        <v>0</v>
      </c>
      <c r="AJ58" s="326">
        <v>0</v>
      </c>
      <c r="AK58" s="326">
        <v>0</v>
      </c>
      <c r="AL58" s="609">
        <f>SUM(AF58:AK58)</f>
        <v>0</v>
      </c>
      <c r="AM58" s="676">
        <f>I58+AE58</f>
        <v>450351</v>
      </c>
      <c r="AN58" s="492">
        <f>J58+V58</f>
        <v>334088</v>
      </c>
      <c r="AO58" s="573">
        <f>K58+Z58</f>
        <v>0</v>
      </c>
      <c r="AP58" s="492">
        <f t="shared" si="33"/>
        <v>112922</v>
      </c>
      <c r="AQ58" s="492">
        <f t="shared" si="33"/>
        <v>3341</v>
      </c>
      <c r="AR58" s="492">
        <f t="shared" si="33"/>
        <v>0</v>
      </c>
      <c r="AS58" s="609">
        <f>O58+AL58</f>
        <v>0.66659999999999997</v>
      </c>
    </row>
    <row r="59" spans="1:45" ht="12.95" customHeight="1" x14ac:dyDescent="0.25">
      <c r="A59" s="198">
        <v>13</v>
      </c>
      <c r="B59" s="200">
        <v>4450</v>
      </c>
      <c r="C59" s="200">
        <v>650033841</v>
      </c>
      <c r="D59" s="200">
        <v>72744995</v>
      </c>
      <c r="E59" s="213" t="s">
        <v>319</v>
      </c>
      <c r="F59" s="216"/>
      <c r="G59" s="217"/>
      <c r="H59" s="217"/>
      <c r="I59" s="670">
        <v>5418122</v>
      </c>
      <c r="J59" s="353">
        <v>4004490</v>
      </c>
      <c r="K59" s="353">
        <v>15000</v>
      </c>
      <c r="L59" s="353">
        <v>1358587</v>
      </c>
      <c r="M59" s="353">
        <v>40045</v>
      </c>
      <c r="N59" s="353">
        <v>0</v>
      </c>
      <c r="O59" s="781">
        <v>6.6929999999999996</v>
      </c>
      <c r="P59" s="670">
        <f t="shared" ref="P59:AS59" si="34">SUM(P55:P58)</f>
        <v>-10000</v>
      </c>
      <c r="Q59" s="353">
        <f t="shared" si="34"/>
        <v>165353</v>
      </c>
      <c r="R59" s="353">
        <f t="shared" si="34"/>
        <v>0</v>
      </c>
      <c r="S59" s="353">
        <f t="shared" si="34"/>
        <v>0</v>
      </c>
      <c r="T59" s="353">
        <f t="shared" si="34"/>
        <v>0</v>
      </c>
      <c r="U59" s="353">
        <f t="shared" si="34"/>
        <v>0</v>
      </c>
      <c r="V59" s="353">
        <f t="shared" si="34"/>
        <v>155353</v>
      </c>
      <c r="W59" s="353">
        <f t="shared" si="34"/>
        <v>10000</v>
      </c>
      <c r="X59" s="353">
        <f t="shared" si="34"/>
        <v>0</v>
      </c>
      <c r="Y59" s="353">
        <f t="shared" si="34"/>
        <v>0</v>
      </c>
      <c r="Z59" s="353">
        <f t="shared" si="34"/>
        <v>10000</v>
      </c>
      <c r="AA59" s="353">
        <f t="shared" si="34"/>
        <v>165353</v>
      </c>
      <c r="AB59" s="353">
        <f t="shared" si="34"/>
        <v>55889</v>
      </c>
      <c r="AC59" s="353">
        <f t="shared" si="34"/>
        <v>1554</v>
      </c>
      <c r="AD59" s="353">
        <f t="shared" si="34"/>
        <v>0</v>
      </c>
      <c r="AE59" s="667">
        <f t="shared" si="34"/>
        <v>222796</v>
      </c>
      <c r="AF59" s="794">
        <v>0</v>
      </c>
      <c r="AG59" s="872">
        <f t="shared" si="34"/>
        <v>0.42</v>
      </c>
      <c r="AH59" s="354">
        <f t="shared" si="34"/>
        <v>0</v>
      </c>
      <c r="AI59" s="354">
        <f t="shared" si="34"/>
        <v>0</v>
      </c>
      <c r="AJ59" s="354">
        <f t="shared" si="34"/>
        <v>0</v>
      </c>
      <c r="AK59" s="354">
        <f t="shared" si="34"/>
        <v>0</v>
      </c>
      <c r="AL59" s="215">
        <f t="shared" si="34"/>
        <v>0.42</v>
      </c>
      <c r="AM59" s="670">
        <f t="shared" si="34"/>
        <v>5640918</v>
      </c>
      <c r="AN59" s="353">
        <f t="shared" si="34"/>
        <v>4159843</v>
      </c>
      <c r="AO59" s="353">
        <f t="shared" si="34"/>
        <v>25000</v>
      </c>
      <c r="AP59" s="353">
        <f t="shared" si="34"/>
        <v>1414476</v>
      </c>
      <c r="AQ59" s="353">
        <f t="shared" si="34"/>
        <v>41599</v>
      </c>
      <c r="AR59" s="353">
        <f t="shared" si="34"/>
        <v>0</v>
      </c>
      <c r="AS59" s="215">
        <f t="shared" si="34"/>
        <v>7.1129999999999995</v>
      </c>
    </row>
    <row r="60" spans="1:45" ht="12.95" customHeight="1" x14ac:dyDescent="0.25">
      <c r="A60" s="205">
        <v>14</v>
      </c>
      <c r="B60" s="206">
        <v>4430</v>
      </c>
      <c r="C60" s="206">
        <v>600074862</v>
      </c>
      <c r="D60" s="206">
        <v>70695024</v>
      </c>
      <c r="E60" s="208" t="s">
        <v>320</v>
      </c>
      <c r="F60" s="206">
        <v>3111</v>
      </c>
      <c r="G60" s="209" t="s">
        <v>318</v>
      </c>
      <c r="H60" s="209" t="s">
        <v>262</v>
      </c>
      <c r="I60" s="580">
        <v>1566147</v>
      </c>
      <c r="J60" s="490">
        <v>1161830</v>
      </c>
      <c r="K60" s="554">
        <v>0</v>
      </c>
      <c r="L60" s="431">
        <v>392699</v>
      </c>
      <c r="M60" s="431">
        <v>11618</v>
      </c>
      <c r="N60" s="325">
        <v>0</v>
      </c>
      <c r="O60" s="719">
        <v>2</v>
      </c>
      <c r="P60" s="327">
        <f t="shared" ref="P60:P63" si="35">W60*-1</f>
        <v>0</v>
      </c>
      <c r="Q60" s="492">
        <v>0</v>
      </c>
      <c r="R60" s="325">
        <v>0</v>
      </c>
      <c r="S60" s="325">
        <v>0</v>
      </c>
      <c r="T60" s="325">
        <v>0</v>
      </c>
      <c r="U60" s="325">
        <v>0</v>
      </c>
      <c r="V60" s="492">
        <f>P60+Q60+R60+S60+T60+U60</f>
        <v>0</v>
      </c>
      <c r="W60" s="325">
        <v>0</v>
      </c>
      <c r="X60" s="325">
        <v>0</v>
      </c>
      <c r="Y60" s="325">
        <v>0</v>
      </c>
      <c r="Z60" s="492">
        <f>W60+X60+Y60</f>
        <v>0</v>
      </c>
      <c r="AA60" s="492">
        <f>V60+Z60</f>
        <v>0</v>
      </c>
      <c r="AB60" s="494">
        <f>ROUND((V60+Z60)*33.8%,0)</f>
        <v>0</v>
      </c>
      <c r="AC60" s="494">
        <f>ROUND(V60*1%,0)</f>
        <v>0</v>
      </c>
      <c r="AD60" s="492">
        <v>0</v>
      </c>
      <c r="AE60" s="753">
        <f t="shared" ref="AE60:AE63" si="36">AA60+AB60+AC60+AD60</f>
        <v>0</v>
      </c>
      <c r="AF60" s="688">
        <v>0</v>
      </c>
      <c r="AG60" s="871">
        <v>0</v>
      </c>
      <c r="AH60" s="326">
        <v>0</v>
      </c>
      <c r="AI60" s="326">
        <v>0</v>
      </c>
      <c r="AJ60" s="326">
        <v>0</v>
      </c>
      <c r="AK60" s="326">
        <v>0</v>
      </c>
      <c r="AL60" s="609">
        <f>SUM(AF60:AK60)</f>
        <v>0</v>
      </c>
      <c r="AM60" s="676">
        <f>I60+AE60</f>
        <v>1566147</v>
      </c>
      <c r="AN60" s="492">
        <f>J60+V60</f>
        <v>1161830</v>
      </c>
      <c r="AO60" s="573">
        <f>K60+Z60</f>
        <v>0</v>
      </c>
      <c r="AP60" s="492">
        <f t="shared" ref="AP60:AR63" si="37">L60+AB60</f>
        <v>392699</v>
      </c>
      <c r="AQ60" s="492">
        <f t="shared" si="37"/>
        <v>11618</v>
      </c>
      <c r="AR60" s="492">
        <f t="shared" si="37"/>
        <v>0</v>
      </c>
      <c r="AS60" s="609">
        <f>O60+AL60</f>
        <v>2</v>
      </c>
    </row>
    <row r="61" spans="1:45" ht="12.95" customHeight="1" x14ac:dyDescent="0.25">
      <c r="A61" s="205">
        <v>14</v>
      </c>
      <c r="B61" s="206">
        <v>4430</v>
      </c>
      <c r="C61" s="206">
        <v>600074862</v>
      </c>
      <c r="D61" s="206">
        <v>70695024</v>
      </c>
      <c r="E61" s="208" t="s">
        <v>320</v>
      </c>
      <c r="F61" s="206">
        <v>3117</v>
      </c>
      <c r="G61" s="209" t="s">
        <v>280</v>
      </c>
      <c r="H61" s="209" t="s">
        <v>262</v>
      </c>
      <c r="I61" s="580">
        <v>2448186</v>
      </c>
      <c r="J61" s="490">
        <v>1816162</v>
      </c>
      <c r="K61" s="554">
        <v>0</v>
      </c>
      <c r="L61" s="431">
        <v>613862</v>
      </c>
      <c r="M61" s="431">
        <v>18162</v>
      </c>
      <c r="N61" s="325">
        <v>0</v>
      </c>
      <c r="O61" s="719">
        <v>2.8929</v>
      </c>
      <c r="P61" s="327">
        <f t="shared" si="35"/>
        <v>0</v>
      </c>
      <c r="Q61" s="492">
        <v>0</v>
      </c>
      <c r="R61" s="325">
        <v>0</v>
      </c>
      <c r="S61" s="325">
        <v>0</v>
      </c>
      <c r="T61" s="325">
        <v>0</v>
      </c>
      <c r="U61" s="325">
        <v>0</v>
      </c>
      <c r="V61" s="492">
        <f>P61+Q61+R61+S61+T61+U61</f>
        <v>0</v>
      </c>
      <c r="W61" s="325">
        <v>0</v>
      </c>
      <c r="X61" s="325">
        <v>0</v>
      </c>
      <c r="Y61" s="325">
        <v>0</v>
      </c>
      <c r="Z61" s="492">
        <f>W61+X61+Y61</f>
        <v>0</v>
      </c>
      <c r="AA61" s="492">
        <f>V61+Z61</f>
        <v>0</v>
      </c>
      <c r="AB61" s="494">
        <f>ROUND((V61+Z61)*33.8%,0)</f>
        <v>0</v>
      </c>
      <c r="AC61" s="494">
        <f>ROUND(V61*1%,0)</f>
        <v>0</v>
      </c>
      <c r="AD61" s="492">
        <v>0</v>
      </c>
      <c r="AE61" s="753">
        <f t="shared" si="36"/>
        <v>0</v>
      </c>
      <c r="AF61" s="688">
        <v>0</v>
      </c>
      <c r="AG61" s="871">
        <v>0</v>
      </c>
      <c r="AH61" s="326">
        <v>0</v>
      </c>
      <c r="AI61" s="326">
        <v>0</v>
      </c>
      <c r="AJ61" s="326">
        <v>0</v>
      </c>
      <c r="AK61" s="326">
        <v>0</v>
      </c>
      <c r="AL61" s="609">
        <f>SUM(AF61:AK61)</f>
        <v>0</v>
      </c>
      <c r="AM61" s="676">
        <f>I61+AE61</f>
        <v>2448186</v>
      </c>
      <c r="AN61" s="492">
        <f>J61+V61</f>
        <v>1816162</v>
      </c>
      <c r="AO61" s="573">
        <f>K61+Z61</f>
        <v>0</v>
      </c>
      <c r="AP61" s="492">
        <f t="shared" si="37"/>
        <v>613862</v>
      </c>
      <c r="AQ61" s="492">
        <f t="shared" si="37"/>
        <v>18162</v>
      </c>
      <c r="AR61" s="492">
        <f t="shared" si="37"/>
        <v>0</v>
      </c>
      <c r="AS61" s="609">
        <f>O61+AL61</f>
        <v>2.8929</v>
      </c>
    </row>
    <row r="62" spans="1:45" ht="12.95" customHeight="1" x14ac:dyDescent="0.25">
      <c r="A62" s="205">
        <v>14</v>
      </c>
      <c r="B62" s="206">
        <v>4430</v>
      </c>
      <c r="C62" s="206">
        <v>600074862</v>
      </c>
      <c r="D62" s="206">
        <v>70695024</v>
      </c>
      <c r="E62" s="208" t="s">
        <v>320</v>
      </c>
      <c r="F62" s="206">
        <v>3117</v>
      </c>
      <c r="G62" s="209" t="s">
        <v>284</v>
      </c>
      <c r="H62" s="209" t="s">
        <v>263</v>
      </c>
      <c r="I62" s="580">
        <v>208042</v>
      </c>
      <c r="J62" s="490">
        <v>154334</v>
      </c>
      <c r="K62" s="554">
        <v>0</v>
      </c>
      <c r="L62" s="431">
        <v>52165</v>
      </c>
      <c r="M62" s="431">
        <v>1543</v>
      </c>
      <c r="N62" s="325">
        <v>0</v>
      </c>
      <c r="O62" s="719">
        <v>0.39</v>
      </c>
      <c r="P62" s="327">
        <f t="shared" si="35"/>
        <v>0</v>
      </c>
      <c r="Q62" s="492">
        <v>0</v>
      </c>
      <c r="R62" s="325">
        <v>0</v>
      </c>
      <c r="S62" s="325">
        <v>0</v>
      </c>
      <c r="T62" s="325">
        <v>0</v>
      </c>
      <c r="U62" s="325">
        <v>0</v>
      </c>
      <c r="V62" s="492">
        <f>P62+Q62+R62+S62+T62+U62</f>
        <v>0</v>
      </c>
      <c r="W62" s="325">
        <v>0</v>
      </c>
      <c r="X62" s="325">
        <v>0</v>
      </c>
      <c r="Y62" s="325">
        <v>0</v>
      </c>
      <c r="Z62" s="492">
        <f>W62+X62+Y62</f>
        <v>0</v>
      </c>
      <c r="AA62" s="492">
        <f>V62+Z62</f>
        <v>0</v>
      </c>
      <c r="AB62" s="494">
        <f>ROUND((V62+Z62)*33.8%,0)</f>
        <v>0</v>
      </c>
      <c r="AC62" s="494">
        <f>ROUND(V62*1%,0)</f>
        <v>0</v>
      </c>
      <c r="AD62" s="492">
        <v>0</v>
      </c>
      <c r="AE62" s="753">
        <f t="shared" si="36"/>
        <v>0</v>
      </c>
      <c r="AF62" s="688">
        <v>0</v>
      </c>
      <c r="AG62" s="871">
        <v>0</v>
      </c>
      <c r="AH62" s="326">
        <v>0</v>
      </c>
      <c r="AI62" s="326">
        <v>0</v>
      </c>
      <c r="AJ62" s="326">
        <v>0</v>
      </c>
      <c r="AK62" s="326">
        <v>0</v>
      </c>
      <c r="AL62" s="609">
        <f>SUM(AF62:AK62)</f>
        <v>0</v>
      </c>
      <c r="AM62" s="676">
        <f>I62+AE62</f>
        <v>208042</v>
      </c>
      <c r="AN62" s="492">
        <f>J62+V62</f>
        <v>154334</v>
      </c>
      <c r="AO62" s="573">
        <f>K62+Z62</f>
        <v>0</v>
      </c>
      <c r="AP62" s="492">
        <f t="shared" si="37"/>
        <v>52165</v>
      </c>
      <c r="AQ62" s="492">
        <f t="shared" si="37"/>
        <v>1543</v>
      </c>
      <c r="AR62" s="492">
        <f t="shared" si="37"/>
        <v>0</v>
      </c>
      <c r="AS62" s="609">
        <f>O62+AL62</f>
        <v>0.39</v>
      </c>
    </row>
    <row r="63" spans="1:45" ht="12.95" customHeight="1" x14ac:dyDescent="0.25">
      <c r="A63" s="205">
        <v>14</v>
      </c>
      <c r="B63" s="206">
        <v>4430</v>
      </c>
      <c r="C63" s="206">
        <v>600074862</v>
      </c>
      <c r="D63" s="206">
        <v>70695024</v>
      </c>
      <c r="E63" s="208" t="s">
        <v>320</v>
      </c>
      <c r="F63" s="206">
        <v>3143</v>
      </c>
      <c r="G63" s="209" t="s">
        <v>795</v>
      </c>
      <c r="H63" s="209" t="s">
        <v>262</v>
      </c>
      <c r="I63" s="580">
        <v>664136</v>
      </c>
      <c r="J63" s="490">
        <v>492682</v>
      </c>
      <c r="K63" s="554">
        <v>0</v>
      </c>
      <c r="L63" s="431">
        <v>166527</v>
      </c>
      <c r="M63" s="431">
        <v>4927</v>
      </c>
      <c r="N63" s="325">
        <v>0</v>
      </c>
      <c r="O63" s="719">
        <v>1</v>
      </c>
      <c r="P63" s="327">
        <f t="shared" si="35"/>
        <v>0</v>
      </c>
      <c r="Q63" s="492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>P63+Q63+R63+S63+T63+U63</f>
        <v>0</v>
      </c>
      <c r="W63" s="325">
        <v>0</v>
      </c>
      <c r="X63" s="325">
        <v>0</v>
      </c>
      <c r="Y63" s="325">
        <v>0</v>
      </c>
      <c r="Z63" s="492">
        <f>W63+X63+Y63</f>
        <v>0</v>
      </c>
      <c r="AA63" s="492">
        <f>V63+Z63</f>
        <v>0</v>
      </c>
      <c r="AB63" s="494">
        <f>ROUND((V63+Z63)*33.8%,0)</f>
        <v>0</v>
      </c>
      <c r="AC63" s="494">
        <f>ROUND(V63*1%,0)</f>
        <v>0</v>
      </c>
      <c r="AD63" s="492">
        <v>0</v>
      </c>
      <c r="AE63" s="753">
        <f t="shared" si="36"/>
        <v>0</v>
      </c>
      <c r="AF63" s="688">
        <v>0</v>
      </c>
      <c r="AG63" s="871">
        <v>0</v>
      </c>
      <c r="AH63" s="326">
        <v>0</v>
      </c>
      <c r="AI63" s="326">
        <v>0</v>
      </c>
      <c r="AJ63" s="326">
        <v>0</v>
      </c>
      <c r="AK63" s="326">
        <v>0</v>
      </c>
      <c r="AL63" s="609">
        <f>SUM(AF63:AK63)</f>
        <v>0</v>
      </c>
      <c r="AM63" s="676">
        <f>I63+AE63</f>
        <v>664136</v>
      </c>
      <c r="AN63" s="492">
        <f>J63+V63</f>
        <v>492682</v>
      </c>
      <c r="AO63" s="573">
        <f>K63+Z63</f>
        <v>0</v>
      </c>
      <c r="AP63" s="492">
        <f t="shared" si="37"/>
        <v>166527</v>
      </c>
      <c r="AQ63" s="492">
        <f t="shared" si="37"/>
        <v>4927</v>
      </c>
      <c r="AR63" s="492">
        <f t="shared" si="37"/>
        <v>0</v>
      </c>
      <c r="AS63" s="609">
        <f>O63+AL63</f>
        <v>1</v>
      </c>
    </row>
    <row r="64" spans="1:45" ht="12.95" customHeight="1" x14ac:dyDescent="0.25">
      <c r="A64" s="198">
        <v>14</v>
      </c>
      <c r="B64" s="200">
        <v>4430</v>
      </c>
      <c r="C64" s="200">
        <v>600074862</v>
      </c>
      <c r="D64" s="200">
        <v>70695024</v>
      </c>
      <c r="E64" s="213" t="s">
        <v>321</v>
      </c>
      <c r="F64" s="216"/>
      <c r="G64" s="217"/>
      <c r="H64" s="217"/>
      <c r="I64" s="670">
        <v>4886511</v>
      </c>
      <c r="J64" s="353">
        <v>3625008</v>
      </c>
      <c r="K64" s="353">
        <v>0</v>
      </c>
      <c r="L64" s="353">
        <v>1225253</v>
      </c>
      <c r="M64" s="353">
        <v>36250</v>
      </c>
      <c r="N64" s="353">
        <v>0</v>
      </c>
      <c r="O64" s="781">
        <v>6.2828999999999997</v>
      </c>
      <c r="P64" s="670">
        <f t="shared" ref="P64:AS64" si="38">SUM(P60:P63)</f>
        <v>0</v>
      </c>
      <c r="Q64" s="353">
        <f t="shared" si="38"/>
        <v>0</v>
      </c>
      <c r="R64" s="353">
        <f t="shared" si="38"/>
        <v>0</v>
      </c>
      <c r="S64" s="353">
        <f t="shared" si="38"/>
        <v>0</v>
      </c>
      <c r="T64" s="353">
        <f t="shared" si="38"/>
        <v>0</v>
      </c>
      <c r="U64" s="353">
        <f t="shared" si="38"/>
        <v>0</v>
      </c>
      <c r="V64" s="353">
        <f t="shared" si="38"/>
        <v>0</v>
      </c>
      <c r="W64" s="353">
        <f t="shared" si="38"/>
        <v>0</v>
      </c>
      <c r="X64" s="353">
        <f t="shared" si="38"/>
        <v>0</v>
      </c>
      <c r="Y64" s="353">
        <f t="shared" si="38"/>
        <v>0</v>
      </c>
      <c r="Z64" s="353">
        <f t="shared" si="38"/>
        <v>0</v>
      </c>
      <c r="AA64" s="353">
        <f t="shared" si="38"/>
        <v>0</v>
      </c>
      <c r="AB64" s="353">
        <f t="shared" si="38"/>
        <v>0</v>
      </c>
      <c r="AC64" s="353">
        <f t="shared" si="38"/>
        <v>0</v>
      </c>
      <c r="AD64" s="353">
        <f t="shared" si="38"/>
        <v>0</v>
      </c>
      <c r="AE64" s="667">
        <f t="shared" si="38"/>
        <v>0</v>
      </c>
      <c r="AF64" s="794">
        <v>0</v>
      </c>
      <c r="AG64" s="872">
        <f t="shared" si="38"/>
        <v>0</v>
      </c>
      <c r="AH64" s="354">
        <f t="shared" si="38"/>
        <v>0</v>
      </c>
      <c r="AI64" s="354">
        <f t="shared" si="38"/>
        <v>0</v>
      </c>
      <c r="AJ64" s="354">
        <f t="shared" si="38"/>
        <v>0</v>
      </c>
      <c r="AK64" s="354">
        <f t="shared" si="38"/>
        <v>0</v>
      </c>
      <c r="AL64" s="215">
        <f t="shared" si="38"/>
        <v>0</v>
      </c>
      <c r="AM64" s="670">
        <f t="shared" si="38"/>
        <v>4886511</v>
      </c>
      <c r="AN64" s="353">
        <f t="shared" si="38"/>
        <v>3625008</v>
      </c>
      <c r="AO64" s="353">
        <f t="shared" si="38"/>
        <v>0</v>
      </c>
      <c r="AP64" s="353">
        <f t="shared" si="38"/>
        <v>1225253</v>
      </c>
      <c r="AQ64" s="353">
        <f t="shared" si="38"/>
        <v>36250</v>
      </c>
      <c r="AR64" s="353">
        <f t="shared" si="38"/>
        <v>0</v>
      </c>
      <c r="AS64" s="215">
        <f t="shared" si="38"/>
        <v>6.2828999999999997</v>
      </c>
    </row>
    <row r="65" spans="1:45" ht="12.95" customHeight="1" x14ac:dyDescent="0.25">
      <c r="A65" s="205">
        <v>15</v>
      </c>
      <c r="B65" s="206">
        <v>4433</v>
      </c>
      <c r="C65" s="206">
        <v>600075001</v>
      </c>
      <c r="D65" s="206">
        <v>70695440</v>
      </c>
      <c r="E65" s="208" t="s">
        <v>322</v>
      </c>
      <c r="F65" s="206">
        <v>3111</v>
      </c>
      <c r="G65" s="209" t="s">
        <v>290</v>
      </c>
      <c r="H65" s="209" t="s">
        <v>262</v>
      </c>
      <c r="I65" s="580">
        <v>1604703</v>
      </c>
      <c r="J65" s="490">
        <v>1190433</v>
      </c>
      <c r="K65" s="554">
        <v>0</v>
      </c>
      <c r="L65" s="431">
        <v>402366</v>
      </c>
      <c r="M65" s="431">
        <v>11904</v>
      </c>
      <c r="N65" s="325">
        <v>0</v>
      </c>
      <c r="O65" s="719">
        <v>2</v>
      </c>
      <c r="P65" s="327">
        <f t="shared" ref="P65:P68" si="39">W65*-1</f>
        <v>0</v>
      </c>
      <c r="Q65" s="492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>P65+Q65+R65+S65+T65+U65</f>
        <v>0</v>
      </c>
      <c r="W65" s="325">
        <v>0</v>
      </c>
      <c r="X65" s="325">
        <v>0</v>
      </c>
      <c r="Y65" s="325">
        <v>0</v>
      </c>
      <c r="Z65" s="492">
        <f>W65+X65+Y65</f>
        <v>0</v>
      </c>
      <c r="AA65" s="492">
        <f>V65+Z65</f>
        <v>0</v>
      </c>
      <c r="AB65" s="494">
        <f>ROUND((V65+Z65)*33.8%,0)</f>
        <v>0</v>
      </c>
      <c r="AC65" s="494">
        <f>ROUND(V65*1%,0)</f>
        <v>0</v>
      </c>
      <c r="AD65" s="492">
        <v>0</v>
      </c>
      <c r="AE65" s="753">
        <f t="shared" ref="AE65:AE68" si="40">AA65+AB65+AC65+AD65</f>
        <v>0</v>
      </c>
      <c r="AF65" s="688">
        <v>0</v>
      </c>
      <c r="AG65" s="871">
        <v>0</v>
      </c>
      <c r="AH65" s="326">
        <v>0</v>
      </c>
      <c r="AI65" s="326">
        <v>0</v>
      </c>
      <c r="AJ65" s="326">
        <v>0</v>
      </c>
      <c r="AK65" s="326">
        <v>0</v>
      </c>
      <c r="AL65" s="609">
        <f>SUM(AF65:AK65)</f>
        <v>0</v>
      </c>
      <c r="AM65" s="676">
        <f>I65+AE65</f>
        <v>1604703</v>
      </c>
      <c r="AN65" s="492">
        <f>J65+V65</f>
        <v>1190433</v>
      </c>
      <c r="AO65" s="573">
        <f>K65+Z65</f>
        <v>0</v>
      </c>
      <c r="AP65" s="492">
        <f t="shared" ref="AP65:AR68" si="41">L65+AB65</f>
        <v>402366</v>
      </c>
      <c r="AQ65" s="492">
        <f t="shared" si="41"/>
        <v>11904</v>
      </c>
      <c r="AR65" s="492">
        <f t="shared" si="41"/>
        <v>0</v>
      </c>
      <c r="AS65" s="609">
        <f>O65+AL65</f>
        <v>2</v>
      </c>
    </row>
    <row r="66" spans="1:45" ht="12.95" customHeight="1" x14ac:dyDescent="0.25">
      <c r="A66" s="205">
        <v>15</v>
      </c>
      <c r="B66" s="206">
        <v>4433</v>
      </c>
      <c r="C66" s="206">
        <v>600075001</v>
      </c>
      <c r="D66" s="206">
        <v>70695440</v>
      </c>
      <c r="E66" s="208" t="s">
        <v>322</v>
      </c>
      <c r="F66" s="206">
        <v>3117</v>
      </c>
      <c r="G66" s="209" t="s">
        <v>294</v>
      </c>
      <c r="H66" s="209" t="s">
        <v>262</v>
      </c>
      <c r="I66" s="580">
        <v>1392963</v>
      </c>
      <c r="J66" s="490">
        <v>1033355</v>
      </c>
      <c r="K66" s="554">
        <v>0</v>
      </c>
      <c r="L66" s="431">
        <v>349274</v>
      </c>
      <c r="M66" s="431">
        <v>10334</v>
      </c>
      <c r="N66" s="325">
        <v>0</v>
      </c>
      <c r="O66" s="719">
        <v>1.5455000000000001</v>
      </c>
      <c r="P66" s="327">
        <f t="shared" si="39"/>
        <v>0</v>
      </c>
      <c r="Q66" s="492">
        <v>0</v>
      </c>
      <c r="R66" s="325">
        <v>0</v>
      </c>
      <c r="S66" s="325">
        <v>0</v>
      </c>
      <c r="T66" s="325">
        <v>0</v>
      </c>
      <c r="U66" s="325">
        <v>0</v>
      </c>
      <c r="V66" s="492">
        <f>P66+Q66+R66+S66+T66+U66</f>
        <v>0</v>
      </c>
      <c r="W66" s="325">
        <v>0</v>
      </c>
      <c r="X66" s="325">
        <v>0</v>
      </c>
      <c r="Y66" s="325">
        <v>0</v>
      </c>
      <c r="Z66" s="492">
        <f>W66+X66+Y66</f>
        <v>0</v>
      </c>
      <c r="AA66" s="492">
        <f>V66+Z66</f>
        <v>0</v>
      </c>
      <c r="AB66" s="494">
        <f>ROUND((V66+Z66)*33.8%,0)</f>
        <v>0</v>
      </c>
      <c r="AC66" s="494">
        <f>ROUND(V66*1%,0)</f>
        <v>0</v>
      </c>
      <c r="AD66" s="492">
        <v>0</v>
      </c>
      <c r="AE66" s="753">
        <f t="shared" si="40"/>
        <v>0</v>
      </c>
      <c r="AF66" s="688">
        <v>0</v>
      </c>
      <c r="AG66" s="871">
        <v>0</v>
      </c>
      <c r="AH66" s="326">
        <v>0</v>
      </c>
      <c r="AI66" s="326">
        <v>0</v>
      </c>
      <c r="AJ66" s="326">
        <v>0</v>
      </c>
      <c r="AK66" s="326">
        <v>0</v>
      </c>
      <c r="AL66" s="609">
        <f>SUM(AF66:AK66)</f>
        <v>0</v>
      </c>
      <c r="AM66" s="676">
        <f>I66+AE66</f>
        <v>1392963</v>
      </c>
      <c r="AN66" s="492">
        <f>J66+V66</f>
        <v>1033355</v>
      </c>
      <c r="AO66" s="573">
        <f>K66+Z66</f>
        <v>0</v>
      </c>
      <c r="AP66" s="492">
        <f t="shared" si="41"/>
        <v>349274</v>
      </c>
      <c r="AQ66" s="492">
        <f t="shared" si="41"/>
        <v>10334</v>
      </c>
      <c r="AR66" s="492">
        <f t="shared" si="41"/>
        <v>0</v>
      </c>
      <c r="AS66" s="609">
        <f>O66+AL66</f>
        <v>1.5455000000000001</v>
      </c>
    </row>
    <row r="67" spans="1:45" ht="12.95" customHeight="1" x14ac:dyDescent="0.25">
      <c r="A67" s="205">
        <v>15</v>
      </c>
      <c r="B67" s="206">
        <v>4433</v>
      </c>
      <c r="C67" s="206">
        <v>600075001</v>
      </c>
      <c r="D67" s="206">
        <v>70695440</v>
      </c>
      <c r="E67" s="208" t="s">
        <v>322</v>
      </c>
      <c r="F67" s="206">
        <v>3117</v>
      </c>
      <c r="G67" s="209" t="s">
        <v>284</v>
      </c>
      <c r="H67" s="209" t="s">
        <v>263</v>
      </c>
      <c r="I67" s="580">
        <v>534951</v>
      </c>
      <c r="J67" s="490">
        <v>396848</v>
      </c>
      <c r="K67" s="554">
        <v>0</v>
      </c>
      <c r="L67" s="431">
        <v>134135</v>
      </c>
      <c r="M67" s="431">
        <v>3968</v>
      </c>
      <c r="N67" s="325">
        <v>0</v>
      </c>
      <c r="O67" s="719">
        <v>1</v>
      </c>
      <c r="P67" s="327">
        <f t="shared" si="39"/>
        <v>0</v>
      </c>
      <c r="Q67" s="492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>P67+Q67+R67+S67+T67+U67</f>
        <v>0</v>
      </c>
      <c r="W67" s="325">
        <v>0</v>
      </c>
      <c r="X67" s="325">
        <v>0</v>
      </c>
      <c r="Y67" s="325">
        <v>0</v>
      </c>
      <c r="Z67" s="492">
        <f>W67+X67+Y67</f>
        <v>0</v>
      </c>
      <c r="AA67" s="492">
        <f>V67+Z67</f>
        <v>0</v>
      </c>
      <c r="AB67" s="494">
        <f>ROUND((V67+Z67)*33.8%,0)</f>
        <v>0</v>
      </c>
      <c r="AC67" s="494">
        <f>ROUND(V67*1%,0)</f>
        <v>0</v>
      </c>
      <c r="AD67" s="492">
        <v>0</v>
      </c>
      <c r="AE67" s="753">
        <f t="shared" si="40"/>
        <v>0</v>
      </c>
      <c r="AF67" s="688">
        <v>0</v>
      </c>
      <c r="AG67" s="871">
        <v>0</v>
      </c>
      <c r="AH67" s="326">
        <v>0</v>
      </c>
      <c r="AI67" s="326">
        <v>0</v>
      </c>
      <c r="AJ67" s="326">
        <v>0</v>
      </c>
      <c r="AK67" s="326">
        <v>0</v>
      </c>
      <c r="AL67" s="609">
        <f>SUM(AF67:AK67)</f>
        <v>0</v>
      </c>
      <c r="AM67" s="676">
        <f>I67+AE67</f>
        <v>534951</v>
      </c>
      <c r="AN67" s="492">
        <f>J67+V67</f>
        <v>396848</v>
      </c>
      <c r="AO67" s="573">
        <f>K67+Z67</f>
        <v>0</v>
      </c>
      <c r="AP67" s="492">
        <f t="shared" si="41"/>
        <v>134135</v>
      </c>
      <c r="AQ67" s="492">
        <f t="shared" si="41"/>
        <v>3968</v>
      </c>
      <c r="AR67" s="492">
        <f t="shared" si="41"/>
        <v>0</v>
      </c>
      <c r="AS67" s="609">
        <f>O67+AL67</f>
        <v>1</v>
      </c>
    </row>
    <row r="68" spans="1:45" ht="12.95" customHeight="1" x14ac:dyDescent="0.25">
      <c r="A68" s="205">
        <v>15</v>
      </c>
      <c r="B68" s="206">
        <v>4433</v>
      </c>
      <c r="C68" s="206">
        <v>600075001</v>
      </c>
      <c r="D68" s="206">
        <v>70695440</v>
      </c>
      <c r="E68" s="208" t="s">
        <v>322</v>
      </c>
      <c r="F68" s="206">
        <v>3143</v>
      </c>
      <c r="G68" s="209" t="s">
        <v>794</v>
      </c>
      <c r="H68" s="209" t="s">
        <v>262</v>
      </c>
      <c r="I68" s="580">
        <v>667239</v>
      </c>
      <c r="J68" s="490">
        <v>494984</v>
      </c>
      <c r="K68" s="554">
        <v>0</v>
      </c>
      <c r="L68" s="431">
        <v>167305</v>
      </c>
      <c r="M68" s="431">
        <v>4950</v>
      </c>
      <c r="N68" s="325">
        <v>0</v>
      </c>
      <c r="O68" s="719">
        <v>1</v>
      </c>
      <c r="P68" s="327">
        <f t="shared" si="39"/>
        <v>0</v>
      </c>
      <c r="Q68" s="492">
        <v>0</v>
      </c>
      <c r="R68" s="325">
        <v>0</v>
      </c>
      <c r="S68" s="325">
        <v>0</v>
      </c>
      <c r="T68" s="325">
        <v>0</v>
      </c>
      <c r="U68" s="325">
        <v>0</v>
      </c>
      <c r="V68" s="492">
        <f>P68+Q68+R68+S68+T68+U68</f>
        <v>0</v>
      </c>
      <c r="W68" s="325">
        <v>0</v>
      </c>
      <c r="X68" s="325">
        <v>0</v>
      </c>
      <c r="Y68" s="325">
        <v>0</v>
      </c>
      <c r="Z68" s="492">
        <f>W68+X68+Y68</f>
        <v>0</v>
      </c>
      <c r="AA68" s="492">
        <f>V68+Z68</f>
        <v>0</v>
      </c>
      <c r="AB68" s="494">
        <f>ROUND((V68+Z68)*33.8%,0)</f>
        <v>0</v>
      </c>
      <c r="AC68" s="494">
        <f>ROUND(V68*1%,0)</f>
        <v>0</v>
      </c>
      <c r="AD68" s="492">
        <v>0</v>
      </c>
      <c r="AE68" s="753">
        <f t="shared" si="40"/>
        <v>0</v>
      </c>
      <c r="AF68" s="688">
        <v>0</v>
      </c>
      <c r="AG68" s="871">
        <v>0</v>
      </c>
      <c r="AH68" s="326">
        <v>0</v>
      </c>
      <c r="AI68" s="326">
        <v>0</v>
      </c>
      <c r="AJ68" s="326">
        <v>0</v>
      </c>
      <c r="AK68" s="326">
        <v>0</v>
      </c>
      <c r="AL68" s="609">
        <f>SUM(AF68:AK68)</f>
        <v>0</v>
      </c>
      <c r="AM68" s="676">
        <f>I68+AE68</f>
        <v>667239</v>
      </c>
      <c r="AN68" s="492">
        <f>J68+V68</f>
        <v>494984</v>
      </c>
      <c r="AO68" s="573">
        <f>K68+Z68</f>
        <v>0</v>
      </c>
      <c r="AP68" s="492">
        <f t="shared" si="41"/>
        <v>167305</v>
      </c>
      <c r="AQ68" s="492">
        <f t="shared" si="41"/>
        <v>4950</v>
      </c>
      <c r="AR68" s="492">
        <f t="shared" si="41"/>
        <v>0</v>
      </c>
      <c r="AS68" s="609">
        <f>O68+AL68</f>
        <v>1</v>
      </c>
    </row>
    <row r="69" spans="1:45" ht="12.95" customHeight="1" x14ac:dyDescent="0.25">
      <c r="A69" s="198">
        <v>15</v>
      </c>
      <c r="B69" s="200">
        <v>4433</v>
      </c>
      <c r="C69" s="200">
        <v>600075001</v>
      </c>
      <c r="D69" s="200">
        <v>70695440</v>
      </c>
      <c r="E69" s="213" t="s">
        <v>323</v>
      </c>
      <c r="F69" s="216"/>
      <c r="G69" s="217"/>
      <c r="H69" s="217"/>
      <c r="I69" s="670">
        <v>4199856</v>
      </c>
      <c r="J69" s="353">
        <v>3115620</v>
      </c>
      <c r="K69" s="353">
        <v>0</v>
      </c>
      <c r="L69" s="353">
        <v>1053080</v>
      </c>
      <c r="M69" s="353">
        <v>31156</v>
      </c>
      <c r="N69" s="353">
        <v>0</v>
      </c>
      <c r="O69" s="781">
        <v>5.5455000000000005</v>
      </c>
      <c r="P69" s="670">
        <f t="shared" ref="P69:AS69" si="42">SUM(P65:P68)</f>
        <v>0</v>
      </c>
      <c r="Q69" s="353">
        <f t="shared" si="42"/>
        <v>0</v>
      </c>
      <c r="R69" s="353">
        <f t="shared" si="42"/>
        <v>0</v>
      </c>
      <c r="S69" s="353">
        <f t="shared" si="42"/>
        <v>0</v>
      </c>
      <c r="T69" s="353">
        <f t="shared" si="42"/>
        <v>0</v>
      </c>
      <c r="U69" s="353">
        <f t="shared" si="42"/>
        <v>0</v>
      </c>
      <c r="V69" s="353">
        <f t="shared" si="42"/>
        <v>0</v>
      </c>
      <c r="W69" s="353">
        <f t="shared" si="42"/>
        <v>0</v>
      </c>
      <c r="X69" s="353">
        <f t="shared" si="42"/>
        <v>0</v>
      </c>
      <c r="Y69" s="353">
        <f t="shared" si="42"/>
        <v>0</v>
      </c>
      <c r="Z69" s="353">
        <f t="shared" si="42"/>
        <v>0</v>
      </c>
      <c r="AA69" s="353">
        <f t="shared" si="42"/>
        <v>0</v>
      </c>
      <c r="AB69" s="353">
        <f t="shared" si="42"/>
        <v>0</v>
      </c>
      <c r="AC69" s="353">
        <f t="shared" si="42"/>
        <v>0</v>
      </c>
      <c r="AD69" s="353">
        <f t="shared" si="42"/>
        <v>0</v>
      </c>
      <c r="AE69" s="667">
        <f t="shared" si="42"/>
        <v>0</v>
      </c>
      <c r="AF69" s="794">
        <v>0</v>
      </c>
      <c r="AG69" s="872">
        <f t="shared" si="42"/>
        <v>0</v>
      </c>
      <c r="AH69" s="354">
        <f t="shared" si="42"/>
        <v>0</v>
      </c>
      <c r="AI69" s="354">
        <f t="shared" si="42"/>
        <v>0</v>
      </c>
      <c r="AJ69" s="354">
        <f t="shared" si="42"/>
        <v>0</v>
      </c>
      <c r="AK69" s="354">
        <f t="shared" si="42"/>
        <v>0</v>
      </c>
      <c r="AL69" s="215">
        <f t="shared" si="42"/>
        <v>0</v>
      </c>
      <c r="AM69" s="670">
        <f t="shared" si="42"/>
        <v>4199856</v>
      </c>
      <c r="AN69" s="353">
        <f t="shared" si="42"/>
        <v>3115620</v>
      </c>
      <c r="AO69" s="353">
        <f t="shared" si="42"/>
        <v>0</v>
      </c>
      <c r="AP69" s="353">
        <f t="shared" si="42"/>
        <v>1053080</v>
      </c>
      <c r="AQ69" s="353">
        <f t="shared" si="42"/>
        <v>31156</v>
      </c>
      <c r="AR69" s="353">
        <f t="shared" si="42"/>
        <v>0</v>
      </c>
      <c r="AS69" s="215">
        <f t="shared" si="42"/>
        <v>5.5455000000000005</v>
      </c>
    </row>
    <row r="70" spans="1:45" ht="12.95" customHeight="1" x14ac:dyDescent="0.25">
      <c r="A70" s="205">
        <v>16</v>
      </c>
      <c r="B70" s="206">
        <v>4487</v>
      </c>
      <c r="C70" s="206">
        <v>600074854</v>
      </c>
      <c r="D70" s="206">
        <v>70698503</v>
      </c>
      <c r="E70" s="208" t="s">
        <v>324</v>
      </c>
      <c r="F70" s="206">
        <v>3111</v>
      </c>
      <c r="G70" s="209" t="s">
        <v>290</v>
      </c>
      <c r="H70" s="209" t="s">
        <v>262</v>
      </c>
      <c r="I70" s="580">
        <v>1630717</v>
      </c>
      <c r="J70" s="490">
        <v>1191864</v>
      </c>
      <c r="K70" s="554">
        <v>18000</v>
      </c>
      <c r="L70" s="431">
        <v>408934</v>
      </c>
      <c r="M70" s="431">
        <v>11919</v>
      </c>
      <c r="N70" s="325">
        <v>0</v>
      </c>
      <c r="O70" s="719">
        <v>2</v>
      </c>
      <c r="P70" s="327">
        <f t="shared" ref="P70:P73" si="43">W70*-1</f>
        <v>-12000</v>
      </c>
      <c r="Q70" s="492">
        <v>0</v>
      </c>
      <c r="R70" s="325">
        <v>0</v>
      </c>
      <c r="S70" s="325">
        <v>0</v>
      </c>
      <c r="T70" s="325">
        <v>0</v>
      </c>
      <c r="U70" s="325">
        <v>0</v>
      </c>
      <c r="V70" s="492">
        <f>P70+Q70+R70+S70+T70+U70</f>
        <v>-12000</v>
      </c>
      <c r="W70" s="325">
        <v>12000</v>
      </c>
      <c r="X70" s="325">
        <v>0</v>
      </c>
      <c r="Y70" s="325">
        <v>0</v>
      </c>
      <c r="Z70" s="492">
        <f>W70+X70+Y70</f>
        <v>12000</v>
      </c>
      <c r="AA70" s="492">
        <f>V70+Z70</f>
        <v>0</v>
      </c>
      <c r="AB70" s="494">
        <f>ROUND((V70+Z70)*33.8%,0)</f>
        <v>0</v>
      </c>
      <c r="AC70" s="494">
        <f>ROUND(V70*1%,0)</f>
        <v>-120</v>
      </c>
      <c r="AD70" s="492">
        <v>0</v>
      </c>
      <c r="AE70" s="753">
        <f t="shared" ref="AE70:AE73" si="44">AA70+AB70+AC70+AD70</f>
        <v>-120</v>
      </c>
      <c r="AF70" s="688">
        <v>0</v>
      </c>
      <c r="AG70" s="871">
        <v>0</v>
      </c>
      <c r="AH70" s="326">
        <v>0</v>
      </c>
      <c r="AI70" s="326">
        <v>0</v>
      </c>
      <c r="AJ70" s="326">
        <v>0</v>
      </c>
      <c r="AK70" s="326">
        <v>0</v>
      </c>
      <c r="AL70" s="609">
        <f>SUM(AF70:AK70)</f>
        <v>0</v>
      </c>
      <c r="AM70" s="676">
        <f>I70+AE70</f>
        <v>1630597</v>
      </c>
      <c r="AN70" s="492">
        <f>J70+V70</f>
        <v>1179864</v>
      </c>
      <c r="AO70" s="573">
        <f>K70+Z70</f>
        <v>30000</v>
      </c>
      <c r="AP70" s="492">
        <f t="shared" ref="AP70:AR73" si="45">L70+AB70</f>
        <v>408934</v>
      </c>
      <c r="AQ70" s="492">
        <f t="shared" si="45"/>
        <v>11799</v>
      </c>
      <c r="AR70" s="492">
        <f t="shared" si="45"/>
        <v>0</v>
      </c>
      <c r="AS70" s="609">
        <f>O70+AL70</f>
        <v>2</v>
      </c>
    </row>
    <row r="71" spans="1:45" ht="12.95" customHeight="1" x14ac:dyDescent="0.25">
      <c r="A71" s="205">
        <v>16</v>
      </c>
      <c r="B71" s="206">
        <v>4487</v>
      </c>
      <c r="C71" s="206">
        <v>600074854</v>
      </c>
      <c r="D71" s="206">
        <v>70698503</v>
      </c>
      <c r="E71" s="208" t="s">
        <v>324</v>
      </c>
      <c r="F71" s="206">
        <v>3117</v>
      </c>
      <c r="G71" s="209" t="s">
        <v>294</v>
      </c>
      <c r="H71" s="209" t="s">
        <v>262</v>
      </c>
      <c r="I71" s="580">
        <v>3599439</v>
      </c>
      <c r="J71" s="490">
        <v>2610653</v>
      </c>
      <c r="K71" s="554">
        <v>60000</v>
      </c>
      <c r="L71" s="431">
        <v>902680</v>
      </c>
      <c r="M71" s="431">
        <v>26106</v>
      </c>
      <c r="N71" s="325">
        <v>0</v>
      </c>
      <c r="O71" s="719">
        <v>4.0909000000000004</v>
      </c>
      <c r="P71" s="327">
        <f t="shared" si="43"/>
        <v>-40000</v>
      </c>
      <c r="Q71" s="492">
        <v>0</v>
      </c>
      <c r="R71" s="325">
        <v>0</v>
      </c>
      <c r="S71" s="325">
        <v>0</v>
      </c>
      <c r="T71" s="325">
        <v>0</v>
      </c>
      <c r="U71" s="325">
        <v>0</v>
      </c>
      <c r="V71" s="492">
        <f>P71+Q71+R71+S71+T71+U71</f>
        <v>-40000</v>
      </c>
      <c r="W71" s="325">
        <v>40000</v>
      </c>
      <c r="X71" s="325">
        <v>0</v>
      </c>
      <c r="Y71" s="325">
        <v>0</v>
      </c>
      <c r="Z71" s="492">
        <f>W71+X71+Y71</f>
        <v>40000</v>
      </c>
      <c r="AA71" s="492">
        <f>V71+Z71</f>
        <v>0</v>
      </c>
      <c r="AB71" s="494">
        <f>ROUND((V71+Z71)*33.8%,0)</f>
        <v>0</v>
      </c>
      <c r="AC71" s="494">
        <f>ROUND(V71*1%,0)</f>
        <v>-400</v>
      </c>
      <c r="AD71" s="492">
        <v>0</v>
      </c>
      <c r="AE71" s="753">
        <f t="shared" si="44"/>
        <v>-400</v>
      </c>
      <c r="AF71" s="688">
        <v>0</v>
      </c>
      <c r="AG71" s="871">
        <v>0</v>
      </c>
      <c r="AH71" s="326">
        <v>0</v>
      </c>
      <c r="AI71" s="326">
        <v>0</v>
      </c>
      <c r="AJ71" s="326">
        <v>0</v>
      </c>
      <c r="AK71" s="326">
        <v>0</v>
      </c>
      <c r="AL71" s="609">
        <f>SUM(AF71:AK71)</f>
        <v>0</v>
      </c>
      <c r="AM71" s="676">
        <f>I71+AE71</f>
        <v>3599039</v>
      </c>
      <c r="AN71" s="492">
        <f>J71+V71</f>
        <v>2570653</v>
      </c>
      <c r="AO71" s="573">
        <f>K71+Z71</f>
        <v>100000</v>
      </c>
      <c r="AP71" s="492">
        <f t="shared" si="45"/>
        <v>902680</v>
      </c>
      <c r="AQ71" s="492">
        <f t="shared" si="45"/>
        <v>25706</v>
      </c>
      <c r="AR71" s="492">
        <f t="shared" si="45"/>
        <v>0</v>
      </c>
      <c r="AS71" s="609">
        <f>O71+AL71</f>
        <v>4.0909000000000004</v>
      </c>
    </row>
    <row r="72" spans="1:45" ht="12.95" customHeight="1" x14ac:dyDescent="0.25">
      <c r="A72" s="205">
        <v>16</v>
      </c>
      <c r="B72" s="206">
        <v>4487</v>
      </c>
      <c r="C72" s="206">
        <v>600074854</v>
      </c>
      <c r="D72" s="206">
        <v>70698503</v>
      </c>
      <c r="E72" s="208" t="s">
        <v>324</v>
      </c>
      <c r="F72" s="206">
        <v>3117</v>
      </c>
      <c r="G72" s="209" t="s">
        <v>284</v>
      </c>
      <c r="H72" s="209" t="s">
        <v>263</v>
      </c>
      <c r="I72" s="580">
        <v>1201336</v>
      </c>
      <c r="J72" s="490">
        <v>891199</v>
      </c>
      <c r="K72" s="554">
        <v>0</v>
      </c>
      <c r="L72" s="431">
        <v>301225</v>
      </c>
      <c r="M72" s="431">
        <v>8912</v>
      </c>
      <c r="N72" s="325">
        <v>0</v>
      </c>
      <c r="O72" s="719">
        <v>2.5</v>
      </c>
      <c r="P72" s="327">
        <f t="shared" si="43"/>
        <v>0</v>
      </c>
      <c r="Q72" s="492">
        <v>0</v>
      </c>
      <c r="R72" s="325">
        <v>0</v>
      </c>
      <c r="S72" s="325">
        <v>0</v>
      </c>
      <c r="T72" s="325">
        <v>0</v>
      </c>
      <c r="U72" s="325">
        <v>0</v>
      </c>
      <c r="V72" s="492">
        <f>P72+Q72+R72+S72+T72+U72</f>
        <v>0</v>
      </c>
      <c r="W72" s="325">
        <v>0</v>
      </c>
      <c r="X72" s="325">
        <v>0</v>
      </c>
      <c r="Y72" s="325">
        <v>0</v>
      </c>
      <c r="Z72" s="492">
        <f>W72+X72+Y72</f>
        <v>0</v>
      </c>
      <c r="AA72" s="492">
        <f>V72+Z72</f>
        <v>0</v>
      </c>
      <c r="AB72" s="494">
        <f>ROUND((V72+Z72)*33.8%,0)</f>
        <v>0</v>
      </c>
      <c r="AC72" s="494">
        <f>ROUND(V72*1%,0)</f>
        <v>0</v>
      </c>
      <c r="AD72" s="492">
        <v>0</v>
      </c>
      <c r="AE72" s="753">
        <f t="shared" si="44"/>
        <v>0</v>
      </c>
      <c r="AF72" s="688">
        <v>0</v>
      </c>
      <c r="AG72" s="871">
        <v>0</v>
      </c>
      <c r="AH72" s="326">
        <v>0</v>
      </c>
      <c r="AI72" s="326">
        <v>0</v>
      </c>
      <c r="AJ72" s="326">
        <v>0</v>
      </c>
      <c r="AK72" s="326">
        <v>0</v>
      </c>
      <c r="AL72" s="609">
        <f>SUM(AF72:AK72)</f>
        <v>0</v>
      </c>
      <c r="AM72" s="676">
        <f>I72+AE72</f>
        <v>1201336</v>
      </c>
      <c r="AN72" s="492">
        <f>J72+V72</f>
        <v>891199</v>
      </c>
      <c r="AO72" s="573">
        <f>K72+Z72</f>
        <v>0</v>
      </c>
      <c r="AP72" s="492">
        <f t="shared" si="45"/>
        <v>301225</v>
      </c>
      <c r="AQ72" s="492">
        <f t="shared" si="45"/>
        <v>8912</v>
      </c>
      <c r="AR72" s="492">
        <f t="shared" si="45"/>
        <v>0</v>
      </c>
      <c r="AS72" s="609">
        <f>O72+AL72</f>
        <v>2.5</v>
      </c>
    </row>
    <row r="73" spans="1:45" ht="12.95" customHeight="1" x14ac:dyDescent="0.25">
      <c r="A73" s="205">
        <v>16</v>
      </c>
      <c r="B73" s="206">
        <v>4487</v>
      </c>
      <c r="C73" s="206">
        <v>600074854</v>
      </c>
      <c r="D73" s="206">
        <v>70698503</v>
      </c>
      <c r="E73" s="208" t="s">
        <v>324</v>
      </c>
      <c r="F73" s="206">
        <v>3143</v>
      </c>
      <c r="G73" s="209" t="s">
        <v>794</v>
      </c>
      <c r="H73" s="209" t="s">
        <v>262</v>
      </c>
      <c r="I73" s="580">
        <v>1359307</v>
      </c>
      <c r="J73" s="490">
        <v>919055</v>
      </c>
      <c r="K73" s="554">
        <v>90000</v>
      </c>
      <c r="L73" s="431">
        <v>341061</v>
      </c>
      <c r="M73" s="431">
        <v>9191</v>
      </c>
      <c r="N73" s="325">
        <v>0</v>
      </c>
      <c r="O73" s="719">
        <v>2</v>
      </c>
      <c r="P73" s="327">
        <f t="shared" si="43"/>
        <v>-60000</v>
      </c>
      <c r="Q73" s="492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>P73+Q73+R73+S73+T73+U73</f>
        <v>-60000</v>
      </c>
      <c r="W73" s="325">
        <v>60000</v>
      </c>
      <c r="X73" s="325">
        <v>0</v>
      </c>
      <c r="Y73" s="325">
        <v>0</v>
      </c>
      <c r="Z73" s="492">
        <f>W73+X73+Y73</f>
        <v>60000</v>
      </c>
      <c r="AA73" s="492">
        <f>V73+Z73</f>
        <v>0</v>
      </c>
      <c r="AB73" s="494">
        <f>ROUND((V73+Z73)*33.8%,0)</f>
        <v>0</v>
      </c>
      <c r="AC73" s="494">
        <f>ROUND(V73*1%,0)</f>
        <v>-600</v>
      </c>
      <c r="AD73" s="492">
        <v>0</v>
      </c>
      <c r="AE73" s="753">
        <f t="shared" si="44"/>
        <v>-600</v>
      </c>
      <c r="AF73" s="688">
        <v>0</v>
      </c>
      <c r="AG73" s="871">
        <v>0</v>
      </c>
      <c r="AH73" s="326">
        <v>0</v>
      </c>
      <c r="AI73" s="326">
        <v>0</v>
      </c>
      <c r="AJ73" s="326">
        <v>0</v>
      </c>
      <c r="AK73" s="326">
        <v>0</v>
      </c>
      <c r="AL73" s="609">
        <f>SUM(AF73:AK73)</f>
        <v>0</v>
      </c>
      <c r="AM73" s="676">
        <f>I73+AE73</f>
        <v>1358707</v>
      </c>
      <c r="AN73" s="492">
        <f>J73+V73</f>
        <v>859055</v>
      </c>
      <c r="AO73" s="573">
        <f>K73+Z73</f>
        <v>150000</v>
      </c>
      <c r="AP73" s="492">
        <f t="shared" si="45"/>
        <v>341061</v>
      </c>
      <c r="AQ73" s="492">
        <f t="shared" si="45"/>
        <v>8591</v>
      </c>
      <c r="AR73" s="492">
        <f t="shared" si="45"/>
        <v>0</v>
      </c>
      <c r="AS73" s="609">
        <f>O73+AL73</f>
        <v>2</v>
      </c>
    </row>
    <row r="74" spans="1:45" ht="12.95" customHeight="1" x14ac:dyDescent="0.25">
      <c r="A74" s="198">
        <v>16</v>
      </c>
      <c r="B74" s="200">
        <v>4487</v>
      </c>
      <c r="C74" s="200">
        <v>600074854</v>
      </c>
      <c r="D74" s="200">
        <v>70698503</v>
      </c>
      <c r="E74" s="213" t="s">
        <v>325</v>
      </c>
      <c r="F74" s="216"/>
      <c r="G74" s="217"/>
      <c r="H74" s="217"/>
      <c r="I74" s="670">
        <v>7790799</v>
      </c>
      <c r="J74" s="353">
        <v>5612771</v>
      </c>
      <c r="K74" s="353">
        <v>168000</v>
      </c>
      <c r="L74" s="353">
        <v>1953900</v>
      </c>
      <c r="M74" s="353">
        <v>56128</v>
      </c>
      <c r="N74" s="353">
        <v>0</v>
      </c>
      <c r="O74" s="781">
        <v>10.590900000000001</v>
      </c>
      <c r="P74" s="670">
        <f t="shared" ref="P74:AS74" si="46">SUM(P70:P73)</f>
        <v>-112000</v>
      </c>
      <c r="Q74" s="353">
        <f t="shared" si="46"/>
        <v>0</v>
      </c>
      <c r="R74" s="353">
        <f t="shared" si="46"/>
        <v>0</v>
      </c>
      <c r="S74" s="353">
        <f t="shared" si="46"/>
        <v>0</v>
      </c>
      <c r="T74" s="353">
        <f t="shared" si="46"/>
        <v>0</v>
      </c>
      <c r="U74" s="353">
        <f t="shared" si="46"/>
        <v>0</v>
      </c>
      <c r="V74" s="353">
        <f t="shared" si="46"/>
        <v>-112000</v>
      </c>
      <c r="W74" s="353">
        <f t="shared" si="46"/>
        <v>112000</v>
      </c>
      <c r="X74" s="353">
        <f t="shared" si="46"/>
        <v>0</v>
      </c>
      <c r="Y74" s="353">
        <f t="shared" si="46"/>
        <v>0</v>
      </c>
      <c r="Z74" s="353">
        <f t="shared" si="46"/>
        <v>112000</v>
      </c>
      <c r="AA74" s="353">
        <f t="shared" si="46"/>
        <v>0</v>
      </c>
      <c r="AB74" s="353">
        <f t="shared" si="46"/>
        <v>0</v>
      </c>
      <c r="AC74" s="353">
        <f t="shared" si="46"/>
        <v>-1120</v>
      </c>
      <c r="AD74" s="353">
        <f t="shared" si="46"/>
        <v>0</v>
      </c>
      <c r="AE74" s="667">
        <f t="shared" si="46"/>
        <v>-1120</v>
      </c>
      <c r="AF74" s="794">
        <v>0</v>
      </c>
      <c r="AG74" s="872">
        <f t="shared" si="46"/>
        <v>0</v>
      </c>
      <c r="AH74" s="354">
        <f t="shared" si="46"/>
        <v>0</v>
      </c>
      <c r="AI74" s="354">
        <f t="shared" si="46"/>
        <v>0</v>
      </c>
      <c r="AJ74" s="354">
        <f t="shared" si="46"/>
        <v>0</v>
      </c>
      <c r="AK74" s="354">
        <f t="shared" si="46"/>
        <v>0</v>
      </c>
      <c r="AL74" s="215">
        <f t="shared" si="46"/>
        <v>0</v>
      </c>
      <c r="AM74" s="670">
        <f t="shared" si="46"/>
        <v>7789679</v>
      </c>
      <c r="AN74" s="353">
        <f t="shared" si="46"/>
        <v>5500771</v>
      </c>
      <c r="AO74" s="353">
        <f t="shared" si="46"/>
        <v>280000</v>
      </c>
      <c r="AP74" s="353">
        <f t="shared" si="46"/>
        <v>1953900</v>
      </c>
      <c r="AQ74" s="353">
        <f t="shared" si="46"/>
        <v>55008</v>
      </c>
      <c r="AR74" s="353">
        <f t="shared" si="46"/>
        <v>0</v>
      </c>
      <c r="AS74" s="215">
        <f t="shared" si="46"/>
        <v>10.590900000000001</v>
      </c>
    </row>
    <row r="75" spans="1:45" ht="12.95" customHeight="1" x14ac:dyDescent="0.25">
      <c r="A75" s="205">
        <v>17</v>
      </c>
      <c r="B75" s="206">
        <v>4488</v>
      </c>
      <c r="C75" s="206">
        <v>600074803</v>
      </c>
      <c r="D75" s="206">
        <v>72742089</v>
      </c>
      <c r="E75" s="208" t="s">
        <v>326</v>
      </c>
      <c r="F75" s="206">
        <v>3111</v>
      </c>
      <c r="G75" s="209" t="s">
        <v>290</v>
      </c>
      <c r="H75" s="209" t="s">
        <v>262</v>
      </c>
      <c r="I75" s="580">
        <v>1522966</v>
      </c>
      <c r="J75" s="490">
        <v>1129797</v>
      </c>
      <c r="K75" s="554">
        <v>0</v>
      </c>
      <c r="L75" s="431">
        <v>381871</v>
      </c>
      <c r="M75" s="431">
        <v>11298</v>
      </c>
      <c r="N75" s="325">
        <v>0</v>
      </c>
      <c r="O75" s="719">
        <v>2</v>
      </c>
      <c r="P75" s="327">
        <f t="shared" ref="P75:P78" si="47">W75*-1</f>
        <v>0</v>
      </c>
      <c r="Q75" s="492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>P75+Q75+R75+S75+T75+U75</f>
        <v>0</v>
      </c>
      <c r="W75" s="325">
        <v>0</v>
      </c>
      <c r="X75" s="325">
        <v>0</v>
      </c>
      <c r="Y75" s="325">
        <v>0</v>
      </c>
      <c r="Z75" s="492">
        <f>W75+X75+Y75</f>
        <v>0</v>
      </c>
      <c r="AA75" s="492">
        <f>V75+Z75</f>
        <v>0</v>
      </c>
      <c r="AB75" s="494">
        <f>ROUND((V75+Z75)*33.8%,0)</f>
        <v>0</v>
      </c>
      <c r="AC75" s="494">
        <f>ROUND(V75*1%,0)</f>
        <v>0</v>
      </c>
      <c r="AD75" s="492">
        <v>0</v>
      </c>
      <c r="AE75" s="753">
        <f t="shared" ref="AE75:AE78" si="48">AA75+AB75+AC75+AD75</f>
        <v>0</v>
      </c>
      <c r="AF75" s="688">
        <v>0</v>
      </c>
      <c r="AG75" s="871">
        <v>0</v>
      </c>
      <c r="AH75" s="326">
        <v>0</v>
      </c>
      <c r="AI75" s="326">
        <v>0</v>
      </c>
      <c r="AJ75" s="326">
        <v>0</v>
      </c>
      <c r="AK75" s="326">
        <v>0</v>
      </c>
      <c r="AL75" s="609">
        <f>SUM(AF75:AK75)</f>
        <v>0</v>
      </c>
      <c r="AM75" s="676">
        <f>I75+AE75</f>
        <v>1522966</v>
      </c>
      <c r="AN75" s="492">
        <f>J75+V75</f>
        <v>1129797</v>
      </c>
      <c r="AO75" s="573">
        <f>K75+Z75</f>
        <v>0</v>
      </c>
      <c r="AP75" s="492">
        <f t="shared" ref="AP75:AR78" si="49">L75+AB75</f>
        <v>381871</v>
      </c>
      <c r="AQ75" s="492">
        <f t="shared" si="49"/>
        <v>11298</v>
      </c>
      <c r="AR75" s="492">
        <f t="shared" si="49"/>
        <v>0</v>
      </c>
      <c r="AS75" s="609">
        <f>O75+AL75</f>
        <v>2</v>
      </c>
    </row>
    <row r="76" spans="1:45" ht="12.95" customHeight="1" x14ac:dyDescent="0.25">
      <c r="A76" s="205">
        <v>17</v>
      </c>
      <c r="B76" s="206">
        <v>4488</v>
      </c>
      <c r="C76" s="206">
        <v>600074803</v>
      </c>
      <c r="D76" s="206">
        <v>72742089</v>
      </c>
      <c r="E76" s="208" t="s">
        <v>326</v>
      </c>
      <c r="F76" s="206">
        <v>3117</v>
      </c>
      <c r="G76" s="209" t="s">
        <v>294</v>
      </c>
      <c r="H76" s="209" t="s">
        <v>262</v>
      </c>
      <c r="I76" s="580">
        <v>3802571</v>
      </c>
      <c r="J76" s="490">
        <v>2820898</v>
      </c>
      <c r="K76" s="554">
        <v>0</v>
      </c>
      <c r="L76" s="431">
        <v>953464</v>
      </c>
      <c r="M76" s="431">
        <v>28209</v>
      </c>
      <c r="N76" s="325">
        <v>0</v>
      </c>
      <c r="O76" s="719">
        <v>4</v>
      </c>
      <c r="P76" s="327">
        <f t="shared" si="47"/>
        <v>0</v>
      </c>
      <c r="Q76" s="492">
        <v>0</v>
      </c>
      <c r="R76" s="325">
        <v>0</v>
      </c>
      <c r="S76" s="325">
        <v>0</v>
      </c>
      <c r="T76" s="325">
        <v>0</v>
      </c>
      <c r="U76" s="325">
        <v>0</v>
      </c>
      <c r="V76" s="492">
        <f>P76+Q76+R76+S76+T76+U76</f>
        <v>0</v>
      </c>
      <c r="W76" s="325">
        <v>0</v>
      </c>
      <c r="X76" s="325">
        <v>0</v>
      </c>
      <c r="Y76" s="325">
        <v>0</v>
      </c>
      <c r="Z76" s="492">
        <f>W76+X76+Y76</f>
        <v>0</v>
      </c>
      <c r="AA76" s="492">
        <f>V76+Z76</f>
        <v>0</v>
      </c>
      <c r="AB76" s="494">
        <f>ROUND((V76+Z76)*33.8%,0)</f>
        <v>0</v>
      </c>
      <c r="AC76" s="494">
        <f>ROUND(V76*1%,0)</f>
        <v>0</v>
      </c>
      <c r="AD76" s="492">
        <v>0</v>
      </c>
      <c r="AE76" s="753">
        <f t="shared" si="48"/>
        <v>0</v>
      </c>
      <c r="AF76" s="688">
        <v>0</v>
      </c>
      <c r="AG76" s="871">
        <v>0</v>
      </c>
      <c r="AH76" s="326">
        <v>0</v>
      </c>
      <c r="AI76" s="326">
        <v>0</v>
      </c>
      <c r="AJ76" s="326">
        <v>0</v>
      </c>
      <c r="AK76" s="326">
        <v>0</v>
      </c>
      <c r="AL76" s="609">
        <f>SUM(AF76:AK76)</f>
        <v>0</v>
      </c>
      <c r="AM76" s="676">
        <f>I76+AE76</f>
        <v>3802571</v>
      </c>
      <c r="AN76" s="492">
        <f>J76+V76</f>
        <v>2820898</v>
      </c>
      <c r="AO76" s="573">
        <f>K76+Z76</f>
        <v>0</v>
      </c>
      <c r="AP76" s="492">
        <f t="shared" si="49"/>
        <v>953464</v>
      </c>
      <c r="AQ76" s="492">
        <f t="shared" si="49"/>
        <v>28209</v>
      </c>
      <c r="AR76" s="492">
        <f t="shared" si="49"/>
        <v>0</v>
      </c>
      <c r="AS76" s="609">
        <f>O76+AL76</f>
        <v>4</v>
      </c>
    </row>
    <row r="77" spans="1:45" ht="12.95" customHeight="1" x14ac:dyDescent="0.25">
      <c r="A77" s="205">
        <v>17</v>
      </c>
      <c r="B77" s="206">
        <v>4488</v>
      </c>
      <c r="C77" s="206">
        <v>600074803</v>
      </c>
      <c r="D77" s="206">
        <v>72742089</v>
      </c>
      <c r="E77" s="208" t="s">
        <v>326</v>
      </c>
      <c r="F77" s="206">
        <v>3117</v>
      </c>
      <c r="G77" s="209" t="s">
        <v>284</v>
      </c>
      <c r="H77" s="209" t="s">
        <v>263</v>
      </c>
      <c r="I77" s="580">
        <v>1277943</v>
      </c>
      <c r="J77" s="490">
        <v>948029</v>
      </c>
      <c r="K77" s="554">
        <v>0</v>
      </c>
      <c r="L77" s="431">
        <v>320434</v>
      </c>
      <c r="M77" s="431">
        <v>9480</v>
      </c>
      <c r="N77" s="325">
        <v>0</v>
      </c>
      <c r="O77" s="719">
        <v>2.39</v>
      </c>
      <c r="P77" s="327">
        <f t="shared" si="47"/>
        <v>0</v>
      </c>
      <c r="Q77" s="492">
        <v>0</v>
      </c>
      <c r="R77" s="325">
        <v>0</v>
      </c>
      <c r="S77" s="325">
        <v>0</v>
      </c>
      <c r="T77" s="325">
        <v>0</v>
      </c>
      <c r="U77" s="325">
        <v>0</v>
      </c>
      <c r="V77" s="492">
        <f>P77+Q77+R77+S77+T77+U77</f>
        <v>0</v>
      </c>
      <c r="W77" s="325">
        <v>0</v>
      </c>
      <c r="X77" s="325">
        <v>0</v>
      </c>
      <c r="Y77" s="325">
        <v>0</v>
      </c>
      <c r="Z77" s="492">
        <f>W77+X77+Y77</f>
        <v>0</v>
      </c>
      <c r="AA77" s="492">
        <f>V77+Z77</f>
        <v>0</v>
      </c>
      <c r="AB77" s="494">
        <f>ROUND((V77+Z77)*33.8%,0)</f>
        <v>0</v>
      </c>
      <c r="AC77" s="494">
        <f>ROUND(V77*1%,0)</f>
        <v>0</v>
      </c>
      <c r="AD77" s="492">
        <v>0</v>
      </c>
      <c r="AE77" s="753">
        <f t="shared" si="48"/>
        <v>0</v>
      </c>
      <c r="AF77" s="688">
        <v>0</v>
      </c>
      <c r="AG77" s="871">
        <v>0</v>
      </c>
      <c r="AH77" s="326">
        <v>0</v>
      </c>
      <c r="AI77" s="326">
        <v>0</v>
      </c>
      <c r="AJ77" s="326">
        <v>0</v>
      </c>
      <c r="AK77" s="326">
        <v>0</v>
      </c>
      <c r="AL77" s="609">
        <f>SUM(AF77:AK77)</f>
        <v>0</v>
      </c>
      <c r="AM77" s="676">
        <f>I77+AE77</f>
        <v>1277943</v>
      </c>
      <c r="AN77" s="492">
        <f>J77+V77</f>
        <v>948029</v>
      </c>
      <c r="AO77" s="573">
        <f>K77+Z77</f>
        <v>0</v>
      </c>
      <c r="AP77" s="492">
        <f t="shared" si="49"/>
        <v>320434</v>
      </c>
      <c r="AQ77" s="492">
        <f t="shared" si="49"/>
        <v>9480</v>
      </c>
      <c r="AR77" s="492">
        <f t="shared" si="49"/>
        <v>0</v>
      </c>
      <c r="AS77" s="609">
        <f>O77+AL77</f>
        <v>2.39</v>
      </c>
    </row>
    <row r="78" spans="1:45" ht="12.95" customHeight="1" x14ac:dyDescent="0.25">
      <c r="A78" s="205">
        <v>17</v>
      </c>
      <c r="B78" s="206">
        <v>4488</v>
      </c>
      <c r="C78" s="206">
        <v>600074803</v>
      </c>
      <c r="D78" s="206">
        <v>72742089</v>
      </c>
      <c r="E78" s="208" t="s">
        <v>326</v>
      </c>
      <c r="F78" s="206">
        <v>3143</v>
      </c>
      <c r="G78" s="209" t="s">
        <v>794</v>
      </c>
      <c r="H78" s="209" t="s">
        <v>262</v>
      </c>
      <c r="I78" s="580">
        <v>675519</v>
      </c>
      <c r="J78" s="490">
        <v>501127</v>
      </c>
      <c r="K78" s="554">
        <v>0</v>
      </c>
      <c r="L78" s="431">
        <v>169381</v>
      </c>
      <c r="M78" s="431">
        <v>5011</v>
      </c>
      <c r="N78" s="325">
        <v>0</v>
      </c>
      <c r="O78" s="719">
        <v>1</v>
      </c>
      <c r="P78" s="327">
        <f t="shared" si="47"/>
        <v>0</v>
      </c>
      <c r="Q78" s="492">
        <v>0</v>
      </c>
      <c r="R78" s="325">
        <v>0</v>
      </c>
      <c r="S78" s="325">
        <v>0</v>
      </c>
      <c r="T78" s="325">
        <v>0</v>
      </c>
      <c r="U78" s="325">
        <v>0</v>
      </c>
      <c r="V78" s="492">
        <f>P78+Q78+R78+S78+T78+U78</f>
        <v>0</v>
      </c>
      <c r="W78" s="325">
        <v>0</v>
      </c>
      <c r="X78" s="325">
        <v>0</v>
      </c>
      <c r="Y78" s="325">
        <v>0</v>
      </c>
      <c r="Z78" s="492">
        <f>W78+X78+Y78</f>
        <v>0</v>
      </c>
      <c r="AA78" s="492">
        <f>V78+Z78</f>
        <v>0</v>
      </c>
      <c r="AB78" s="494">
        <f>ROUND((V78+Z78)*33.8%,0)</f>
        <v>0</v>
      </c>
      <c r="AC78" s="494">
        <f>ROUND(V78*1%,0)</f>
        <v>0</v>
      </c>
      <c r="AD78" s="492">
        <v>0</v>
      </c>
      <c r="AE78" s="753">
        <f t="shared" si="48"/>
        <v>0</v>
      </c>
      <c r="AF78" s="688">
        <v>0</v>
      </c>
      <c r="AG78" s="871">
        <v>0</v>
      </c>
      <c r="AH78" s="326">
        <v>0</v>
      </c>
      <c r="AI78" s="326">
        <v>0</v>
      </c>
      <c r="AJ78" s="326">
        <v>0</v>
      </c>
      <c r="AK78" s="326">
        <v>0</v>
      </c>
      <c r="AL78" s="609">
        <f>SUM(AF78:AK78)</f>
        <v>0</v>
      </c>
      <c r="AM78" s="676">
        <f>I78+AE78</f>
        <v>675519</v>
      </c>
      <c r="AN78" s="492">
        <f>J78+V78</f>
        <v>501127</v>
      </c>
      <c r="AO78" s="573">
        <f>K78+Z78</f>
        <v>0</v>
      </c>
      <c r="AP78" s="492">
        <f t="shared" si="49"/>
        <v>169381</v>
      </c>
      <c r="AQ78" s="492">
        <f t="shared" si="49"/>
        <v>5011</v>
      </c>
      <c r="AR78" s="492">
        <f t="shared" si="49"/>
        <v>0</v>
      </c>
      <c r="AS78" s="609">
        <f>O78+AL78</f>
        <v>1</v>
      </c>
    </row>
    <row r="79" spans="1:45" ht="12.95" customHeight="1" x14ac:dyDescent="0.25">
      <c r="A79" s="198">
        <v>17</v>
      </c>
      <c r="B79" s="200">
        <v>4488</v>
      </c>
      <c r="C79" s="200">
        <v>600074803</v>
      </c>
      <c r="D79" s="200">
        <v>72742089</v>
      </c>
      <c r="E79" s="213" t="s">
        <v>327</v>
      </c>
      <c r="F79" s="216"/>
      <c r="G79" s="217"/>
      <c r="H79" s="217"/>
      <c r="I79" s="670">
        <v>7278999</v>
      </c>
      <c r="J79" s="353">
        <v>5399851</v>
      </c>
      <c r="K79" s="353">
        <v>0</v>
      </c>
      <c r="L79" s="353">
        <v>1825150</v>
      </c>
      <c r="M79" s="353">
        <v>53998</v>
      </c>
      <c r="N79" s="353">
        <v>0</v>
      </c>
      <c r="O79" s="781">
        <v>9.39</v>
      </c>
      <c r="P79" s="670">
        <f t="shared" ref="P79:AS79" si="50">SUM(P75:P78)</f>
        <v>0</v>
      </c>
      <c r="Q79" s="353">
        <f t="shared" si="50"/>
        <v>0</v>
      </c>
      <c r="R79" s="353">
        <f t="shared" si="50"/>
        <v>0</v>
      </c>
      <c r="S79" s="353">
        <f t="shared" si="50"/>
        <v>0</v>
      </c>
      <c r="T79" s="353">
        <f t="shared" si="50"/>
        <v>0</v>
      </c>
      <c r="U79" s="353">
        <f t="shared" si="50"/>
        <v>0</v>
      </c>
      <c r="V79" s="353">
        <f t="shared" si="50"/>
        <v>0</v>
      </c>
      <c r="W79" s="353">
        <f t="shared" si="50"/>
        <v>0</v>
      </c>
      <c r="X79" s="353">
        <f t="shared" si="50"/>
        <v>0</v>
      </c>
      <c r="Y79" s="353">
        <f t="shared" si="50"/>
        <v>0</v>
      </c>
      <c r="Z79" s="353">
        <f t="shared" si="50"/>
        <v>0</v>
      </c>
      <c r="AA79" s="353">
        <f t="shared" si="50"/>
        <v>0</v>
      </c>
      <c r="AB79" s="353">
        <f t="shared" si="50"/>
        <v>0</v>
      </c>
      <c r="AC79" s="353">
        <f t="shared" si="50"/>
        <v>0</v>
      </c>
      <c r="AD79" s="353">
        <f t="shared" si="50"/>
        <v>0</v>
      </c>
      <c r="AE79" s="667">
        <f t="shared" si="50"/>
        <v>0</v>
      </c>
      <c r="AF79" s="794">
        <v>0</v>
      </c>
      <c r="AG79" s="872">
        <f t="shared" si="50"/>
        <v>0</v>
      </c>
      <c r="AH79" s="354">
        <f t="shared" si="50"/>
        <v>0</v>
      </c>
      <c r="AI79" s="354">
        <f t="shared" si="50"/>
        <v>0</v>
      </c>
      <c r="AJ79" s="354">
        <f t="shared" si="50"/>
        <v>0</v>
      </c>
      <c r="AK79" s="354">
        <f t="shared" si="50"/>
        <v>0</v>
      </c>
      <c r="AL79" s="215">
        <f t="shared" si="50"/>
        <v>0</v>
      </c>
      <c r="AM79" s="670">
        <f t="shared" si="50"/>
        <v>7278999</v>
      </c>
      <c r="AN79" s="353">
        <f t="shared" si="50"/>
        <v>5399851</v>
      </c>
      <c r="AO79" s="353">
        <f t="shared" si="50"/>
        <v>0</v>
      </c>
      <c r="AP79" s="353">
        <f t="shared" si="50"/>
        <v>1825150</v>
      </c>
      <c r="AQ79" s="353">
        <f t="shared" si="50"/>
        <v>53998</v>
      </c>
      <c r="AR79" s="353">
        <f t="shared" si="50"/>
        <v>0</v>
      </c>
      <c r="AS79" s="215">
        <f t="shared" si="50"/>
        <v>9.39</v>
      </c>
    </row>
    <row r="80" spans="1:45" ht="12.95" customHeight="1" x14ac:dyDescent="0.25">
      <c r="A80" s="205">
        <v>18</v>
      </c>
      <c r="B80" s="206">
        <v>4434</v>
      </c>
      <c r="C80" s="206">
        <v>650025768</v>
      </c>
      <c r="D80" s="206">
        <v>72744481</v>
      </c>
      <c r="E80" s="208" t="s">
        <v>328</v>
      </c>
      <c r="F80" s="206">
        <v>3111</v>
      </c>
      <c r="G80" s="209" t="s">
        <v>290</v>
      </c>
      <c r="H80" s="209" t="s">
        <v>262</v>
      </c>
      <c r="I80" s="580">
        <v>4616932</v>
      </c>
      <c r="J80" s="490">
        <v>3425024</v>
      </c>
      <c r="K80" s="554">
        <v>0</v>
      </c>
      <c r="L80" s="431">
        <v>1157658</v>
      </c>
      <c r="M80" s="431">
        <v>34250</v>
      </c>
      <c r="N80" s="325">
        <v>0</v>
      </c>
      <c r="O80" s="719">
        <v>5.8516000000000004</v>
      </c>
      <c r="P80" s="327">
        <f t="shared" ref="P80:P83" si="51">W80*-1</f>
        <v>0</v>
      </c>
      <c r="Q80" s="492">
        <v>0</v>
      </c>
      <c r="R80" s="325">
        <v>0</v>
      </c>
      <c r="S80" s="325">
        <v>0</v>
      </c>
      <c r="T80" s="325">
        <v>0</v>
      </c>
      <c r="U80" s="325">
        <v>0</v>
      </c>
      <c r="V80" s="492">
        <f>P80+Q80+R80+S80+T80+U80</f>
        <v>0</v>
      </c>
      <c r="W80" s="325">
        <v>0</v>
      </c>
      <c r="X80" s="325">
        <v>0</v>
      </c>
      <c r="Y80" s="325">
        <v>0</v>
      </c>
      <c r="Z80" s="492">
        <f>W80+X80+Y80</f>
        <v>0</v>
      </c>
      <c r="AA80" s="492">
        <f>V80+Z80</f>
        <v>0</v>
      </c>
      <c r="AB80" s="494">
        <f>ROUND((V80+Z80)*33.8%,0)</f>
        <v>0</v>
      </c>
      <c r="AC80" s="494">
        <f>ROUND(V80*1%,0)</f>
        <v>0</v>
      </c>
      <c r="AD80" s="492">
        <v>0</v>
      </c>
      <c r="AE80" s="753">
        <f t="shared" ref="AE80:AE83" si="52">AA80+AB80+AC80+AD80</f>
        <v>0</v>
      </c>
      <c r="AF80" s="688">
        <v>0</v>
      </c>
      <c r="AG80" s="871">
        <v>0</v>
      </c>
      <c r="AH80" s="326">
        <v>0</v>
      </c>
      <c r="AI80" s="326">
        <v>0</v>
      </c>
      <c r="AJ80" s="326">
        <v>0</v>
      </c>
      <c r="AK80" s="326">
        <v>0</v>
      </c>
      <c r="AL80" s="609">
        <f>SUM(AF80:AK80)</f>
        <v>0</v>
      </c>
      <c r="AM80" s="676">
        <f>I80+AE80</f>
        <v>4616932</v>
      </c>
      <c r="AN80" s="492">
        <f>J80+V80</f>
        <v>3425024</v>
      </c>
      <c r="AO80" s="573">
        <f>K80+Z80</f>
        <v>0</v>
      </c>
      <c r="AP80" s="492">
        <f t="shared" ref="AP80:AR83" si="53">L80+AB80</f>
        <v>1157658</v>
      </c>
      <c r="AQ80" s="492">
        <f t="shared" si="53"/>
        <v>34250</v>
      </c>
      <c r="AR80" s="492">
        <f t="shared" si="53"/>
        <v>0</v>
      </c>
      <c r="AS80" s="609">
        <f>O80+AL80</f>
        <v>5.8516000000000004</v>
      </c>
    </row>
    <row r="81" spans="1:45" ht="12.95" customHeight="1" x14ac:dyDescent="0.25">
      <c r="A81" s="205">
        <v>18</v>
      </c>
      <c r="B81" s="206">
        <v>4434</v>
      </c>
      <c r="C81" s="206">
        <v>650025768</v>
      </c>
      <c r="D81" s="206">
        <v>72744481</v>
      </c>
      <c r="E81" s="208" t="s">
        <v>328</v>
      </c>
      <c r="F81" s="206">
        <v>3113</v>
      </c>
      <c r="G81" s="209" t="s">
        <v>294</v>
      </c>
      <c r="H81" s="209" t="s">
        <v>262</v>
      </c>
      <c r="I81" s="580">
        <v>12165586</v>
      </c>
      <c r="J81" s="490">
        <v>9013004</v>
      </c>
      <c r="K81" s="554">
        <v>12000</v>
      </c>
      <c r="L81" s="431">
        <v>3050452</v>
      </c>
      <c r="M81" s="431">
        <v>90130</v>
      </c>
      <c r="N81" s="325">
        <v>0</v>
      </c>
      <c r="O81" s="719">
        <v>12.8635</v>
      </c>
      <c r="P81" s="327">
        <f t="shared" si="51"/>
        <v>-8000</v>
      </c>
      <c r="Q81" s="492">
        <v>0</v>
      </c>
      <c r="R81" s="325">
        <v>0</v>
      </c>
      <c r="S81" s="325">
        <v>0</v>
      </c>
      <c r="T81" s="325">
        <v>0</v>
      </c>
      <c r="U81" s="325">
        <v>0</v>
      </c>
      <c r="V81" s="492">
        <f>P81+Q81+R81+S81+T81+U81</f>
        <v>-8000</v>
      </c>
      <c r="W81" s="325">
        <v>8000</v>
      </c>
      <c r="X81" s="325">
        <v>0</v>
      </c>
      <c r="Y81" s="325">
        <v>0</v>
      </c>
      <c r="Z81" s="492">
        <f>W81+X81+Y81</f>
        <v>8000</v>
      </c>
      <c r="AA81" s="492">
        <f>V81+Z81</f>
        <v>0</v>
      </c>
      <c r="AB81" s="494">
        <f>ROUND((V81+Z81)*33.8%,0)</f>
        <v>0</v>
      </c>
      <c r="AC81" s="494">
        <f>ROUND(V81*1%,0)</f>
        <v>-80</v>
      </c>
      <c r="AD81" s="492">
        <v>0</v>
      </c>
      <c r="AE81" s="753">
        <f t="shared" si="52"/>
        <v>-80</v>
      </c>
      <c r="AF81" s="688">
        <v>0</v>
      </c>
      <c r="AG81" s="871">
        <v>0</v>
      </c>
      <c r="AH81" s="326">
        <v>0</v>
      </c>
      <c r="AI81" s="326">
        <v>0</v>
      </c>
      <c r="AJ81" s="326">
        <v>0</v>
      </c>
      <c r="AK81" s="326">
        <v>0</v>
      </c>
      <c r="AL81" s="609">
        <f>SUM(AF81:AK81)</f>
        <v>0</v>
      </c>
      <c r="AM81" s="676">
        <f>I81+AE81</f>
        <v>12165506</v>
      </c>
      <c r="AN81" s="492">
        <f>J81+V81</f>
        <v>9005004</v>
      </c>
      <c r="AO81" s="573">
        <f>K81+Z81</f>
        <v>20000</v>
      </c>
      <c r="AP81" s="492">
        <f t="shared" si="53"/>
        <v>3050452</v>
      </c>
      <c r="AQ81" s="492">
        <f t="shared" si="53"/>
        <v>90050</v>
      </c>
      <c r="AR81" s="492">
        <f t="shared" si="53"/>
        <v>0</v>
      </c>
      <c r="AS81" s="609">
        <f>O81+AL81</f>
        <v>12.8635</v>
      </c>
    </row>
    <row r="82" spans="1:45" ht="12.95" customHeight="1" x14ac:dyDescent="0.25">
      <c r="A82" s="205">
        <v>18</v>
      </c>
      <c r="B82" s="206">
        <v>4434</v>
      </c>
      <c r="C82" s="206">
        <v>650025768</v>
      </c>
      <c r="D82" s="206">
        <v>72744481</v>
      </c>
      <c r="E82" s="208" t="s">
        <v>328</v>
      </c>
      <c r="F82" s="206">
        <v>3113</v>
      </c>
      <c r="G82" s="209" t="s">
        <v>284</v>
      </c>
      <c r="H82" s="209" t="s">
        <v>263</v>
      </c>
      <c r="I82" s="580">
        <v>2407277</v>
      </c>
      <c r="J82" s="490">
        <v>1785814</v>
      </c>
      <c r="K82" s="554">
        <v>0</v>
      </c>
      <c r="L82" s="431">
        <v>603605</v>
      </c>
      <c r="M82" s="431">
        <v>17858</v>
      </c>
      <c r="N82" s="325">
        <v>0</v>
      </c>
      <c r="O82" s="719">
        <v>4.5</v>
      </c>
      <c r="P82" s="327">
        <f t="shared" si="51"/>
        <v>0</v>
      </c>
      <c r="Q82" s="492">
        <v>223227</v>
      </c>
      <c r="R82" s="325">
        <v>0</v>
      </c>
      <c r="S82" s="325">
        <v>0</v>
      </c>
      <c r="T82" s="325">
        <v>0</v>
      </c>
      <c r="U82" s="325">
        <v>0</v>
      </c>
      <c r="V82" s="492">
        <f>P82+Q82+R82+S82+T82+U82</f>
        <v>223227</v>
      </c>
      <c r="W82" s="325">
        <v>0</v>
      </c>
      <c r="X82" s="325">
        <v>0</v>
      </c>
      <c r="Y82" s="325">
        <v>0</v>
      </c>
      <c r="Z82" s="492">
        <f>W82+X82+Y82</f>
        <v>0</v>
      </c>
      <c r="AA82" s="492">
        <f>V82+Z82</f>
        <v>223227</v>
      </c>
      <c r="AB82" s="494">
        <f>ROUND((V82+Z82)*33.8%,0)</f>
        <v>75451</v>
      </c>
      <c r="AC82" s="494">
        <f>ROUND(V82*1%,0)</f>
        <v>2232</v>
      </c>
      <c r="AD82" s="492">
        <v>0</v>
      </c>
      <c r="AE82" s="753">
        <f t="shared" si="52"/>
        <v>300910</v>
      </c>
      <c r="AF82" s="688">
        <v>0</v>
      </c>
      <c r="AG82" s="871">
        <v>0.56000000000000005</v>
      </c>
      <c r="AH82" s="326">
        <v>0</v>
      </c>
      <c r="AI82" s="326">
        <v>0</v>
      </c>
      <c r="AJ82" s="326">
        <v>0</v>
      </c>
      <c r="AK82" s="326">
        <v>0</v>
      </c>
      <c r="AL82" s="609">
        <f>SUM(AF82:AK82)</f>
        <v>0.56000000000000005</v>
      </c>
      <c r="AM82" s="676">
        <f>I82+AE82</f>
        <v>2708187</v>
      </c>
      <c r="AN82" s="492">
        <f>J82+V82</f>
        <v>2009041</v>
      </c>
      <c r="AO82" s="573">
        <f>K82+Z82</f>
        <v>0</v>
      </c>
      <c r="AP82" s="492">
        <f t="shared" si="53"/>
        <v>679056</v>
      </c>
      <c r="AQ82" s="492">
        <f t="shared" si="53"/>
        <v>20090</v>
      </c>
      <c r="AR82" s="492">
        <f t="shared" si="53"/>
        <v>0</v>
      </c>
      <c r="AS82" s="609">
        <f>O82+AL82</f>
        <v>5.0600000000000005</v>
      </c>
    </row>
    <row r="83" spans="1:45" ht="12.95" customHeight="1" x14ac:dyDescent="0.25">
      <c r="A83" s="205">
        <v>18</v>
      </c>
      <c r="B83" s="206">
        <v>4434</v>
      </c>
      <c r="C83" s="206">
        <v>650025768</v>
      </c>
      <c r="D83" s="206">
        <v>72744481</v>
      </c>
      <c r="E83" s="208" t="s">
        <v>328</v>
      </c>
      <c r="F83" s="206">
        <v>3143</v>
      </c>
      <c r="G83" s="209" t="s">
        <v>794</v>
      </c>
      <c r="H83" s="209" t="s">
        <v>262</v>
      </c>
      <c r="I83" s="580">
        <v>1465412</v>
      </c>
      <c r="J83" s="490">
        <v>1075190</v>
      </c>
      <c r="K83" s="554">
        <v>12000</v>
      </c>
      <c r="L83" s="431">
        <v>367470</v>
      </c>
      <c r="M83" s="431">
        <v>10752</v>
      </c>
      <c r="N83" s="325">
        <v>0</v>
      </c>
      <c r="O83" s="719">
        <v>2</v>
      </c>
      <c r="P83" s="327">
        <f t="shared" si="51"/>
        <v>-8000</v>
      </c>
      <c r="Q83" s="492">
        <v>0</v>
      </c>
      <c r="R83" s="325">
        <v>0</v>
      </c>
      <c r="S83" s="325">
        <v>0</v>
      </c>
      <c r="T83" s="325">
        <v>0</v>
      </c>
      <c r="U83" s="325">
        <v>0</v>
      </c>
      <c r="V83" s="492">
        <f>P83+Q83+R83+S83+T83+U83</f>
        <v>-8000</v>
      </c>
      <c r="W83" s="325">
        <v>8000</v>
      </c>
      <c r="X83" s="325">
        <v>0</v>
      </c>
      <c r="Y83" s="325">
        <v>0</v>
      </c>
      <c r="Z83" s="492">
        <f>W83+X83+Y83</f>
        <v>8000</v>
      </c>
      <c r="AA83" s="492">
        <f>V83+Z83</f>
        <v>0</v>
      </c>
      <c r="AB83" s="494">
        <f>ROUND((V83+Z83)*33.8%,0)</f>
        <v>0</v>
      </c>
      <c r="AC83" s="494">
        <f>ROUND(V83*1%,0)</f>
        <v>-80</v>
      </c>
      <c r="AD83" s="492">
        <v>0</v>
      </c>
      <c r="AE83" s="753">
        <f t="shared" si="52"/>
        <v>-80</v>
      </c>
      <c r="AF83" s="688">
        <v>0</v>
      </c>
      <c r="AG83" s="871">
        <v>0</v>
      </c>
      <c r="AH83" s="326">
        <v>0</v>
      </c>
      <c r="AI83" s="326">
        <v>0</v>
      </c>
      <c r="AJ83" s="326">
        <v>0</v>
      </c>
      <c r="AK83" s="326">
        <v>0</v>
      </c>
      <c r="AL83" s="609">
        <f>SUM(AF83:AK83)</f>
        <v>0</v>
      </c>
      <c r="AM83" s="676">
        <f>I83+AE83</f>
        <v>1465332</v>
      </c>
      <c r="AN83" s="492">
        <f>J83+V83</f>
        <v>1067190</v>
      </c>
      <c r="AO83" s="573">
        <f>K83+Z83</f>
        <v>20000</v>
      </c>
      <c r="AP83" s="492">
        <f t="shared" si="53"/>
        <v>367470</v>
      </c>
      <c r="AQ83" s="492">
        <f t="shared" si="53"/>
        <v>10672</v>
      </c>
      <c r="AR83" s="492">
        <f t="shared" si="53"/>
        <v>0</v>
      </c>
      <c r="AS83" s="609">
        <f>O83+AL83</f>
        <v>2</v>
      </c>
    </row>
    <row r="84" spans="1:45" ht="12.95" customHeight="1" x14ac:dyDescent="0.25">
      <c r="A84" s="198">
        <v>18</v>
      </c>
      <c r="B84" s="200">
        <v>4434</v>
      </c>
      <c r="C84" s="200">
        <v>650025768</v>
      </c>
      <c r="D84" s="200">
        <v>72744481</v>
      </c>
      <c r="E84" s="219" t="s">
        <v>329</v>
      </c>
      <c r="F84" s="220"/>
      <c r="G84" s="221"/>
      <c r="H84" s="221"/>
      <c r="I84" s="670">
        <v>20655207</v>
      </c>
      <c r="J84" s="353">
        <v>15299032</v>
      </c>
      <c r="K84" s="353">
        <v>24000</v>
      </c>
      <c r="L84" s="353">
        <v>5179185</v>
      </c>
      <c r="M84" s="353">
        <v>152990</v>
      </c>
      <c r="N84" s="353">
        <v>0</v>
      </c>
      <c r="O84" s="781">
        <v>25.2151</v>
      </c>
      <c r="P84" s="670">
        <f t="shared" ref="P84:AS84" si="54">SUM(P80:P83)</f>
        <v>-16000</v>
      </c>
      <c r="Q84" s="353">
        <f t="shared" si="54"/>
        <v>223227</v>
      </c>
      <c r="R84" s="353">
        <f t="shared" si="54"/>
        <v>0</v>
      </c>
      <c r="S84" s="353">
        <f t="shared" si="54"/>
        <v>0</v>
      </c>
      <c r="T84" s="353">
        <f t="shared" si="54"/>
        <v>0</v>
      </c>
      <c r="U84" s="353">
        <f t="shared" si="54"/>
        <v>0</v>
      </c>
      <c r="V84" s="353">
        <f t="shared" si="54"/>
        <v>207227</v>
      </c>
      <c r="W84" s="353">
        <f t="shared" si="54"/>
        <v>16000</v>
      </c>
      <c r="X84" s="353">
        <f t="shared" si="54"/>
        <v>0</v>
      </c>
      <c r="Y84" s="353">
        <f t="shared" si="54"/>
        <v>0</v>
      </c>
      <c r="Z84" s="353">
        <f t="shared" si="54"/>
        <v>16000</v>
      </c>
      <c r="AA84" s="353">
        <f t="shared" si="54"/>
        <v>223227</v>
      </c>
      <c r="AB84" s="353">
        <f t="shared" si="54"/>
        <v>75451</v>
      </c>
      <c r="AC84" s="353">
        <f t="shared" si="54"/>
        <v>2072</v>
      </c>
      <c r="AD84" s="353">
        <f t="shared" si="54"/>
        <v>0</v>
      </c>
      <c r="AE84" s="667">
        <f t="shared" si="54"/>
        <v>300750</v>
      </c>
      <c r="AF84" s="794">
        <v>0</v>
      </c>
      <c r="AG84" s="872">
        <f t="shared" si="54"/>
        <v>0.56000000000000005</v>
      </c>
      <c r="AH84" s="354">
        <f t="shared" si="54"/>
        <v>0</v>
      </c>
      <c r="AI84" s="354">
        <f t="shared" si="54"/>
        <v>0</v>
      </c>
      <c r="AJ84" s="354">
        <f t="shared" si="54"/>
        <v>0</v>
      </c>
      <c r="AK84" s="354">
        <f t="shared" si="54"/>
        <v>0</v>
      </c>
      <c r="AL84" s="215">
        <f t="shared" si="54"/>
        <v>0.56000000000000005</v>
      </c>
      <c r="AM84" s="670">
        <f t="shared" si="54"/>
        <v>20955957</v>
      </c>
      <c r="AN84" s="353">
        <f t="shared" si="54"/>
        <v>15506259</v>
      </c>
      <c r="AO84" s="353">
        <f t="shared" si="54"/>
        <v>40000</v>
      </c>
      <c r="AP84" s="353">
        <f t="shared" si="54"/>
        <v>5254636</v>
      </c>
      <c r="AQ84" s="353">
        <f t="shared" si="54"/>
        <v>155062</v>
      </c>
      <c r="AR84" s="353">
        <f t="shared" si="54"/>
        <v>0</v>
      </c>
      <c r="AS84" s="215">
        <f t="shared" si="54"/>
        <v>25.775100000000002</v>
      </c>
    </row>
    <row r="85" spans="1:45" ht="12.95" customHeight="1" x14ac:dyDescent="0.25">
      <c r="A85" s="205">
        <v>19</v>
      </c>
      <c r="B85" s="206">
        <v>4441</v>
      </c>
      <c r="C85" s="206">
        <v>600074668</v>
      </c>
      <c r="D85" s="206">
        <v>46750495</v>
      </c>
      <c r="E85" s="222" t="s">
        <v>330</v>
      </c>
      <c r="F85" s="223">
        <v>3111</v>
      </c>
      <c r="G85" s="209" t="s">
        <v>290</v>
      </c>
      <c r="H85" s="209" t="s">
        <v>262</v>
      </c>
      <c r="I85" s="580">
        <v>4522765</v>
      </c>
      <c r="J85" s="490">
        <v>3353261</v>
      </c>
      <c r="K85" s="554">
        <v>1920</v>
      </c>
      <c r="L85" s="431">
        <v>1134051</v>
      </c>
      <c r="M85" s="431">
        <v>33533</v>
      </c>
      <c r="N85" s="325">
        <v>0</v>
      </c>
      <c r="O85" s="719">
        <v>5.6452</v>
      </c>
      <c r="P85" s="327">
        <f t="shared" ref="P85:P88" si="55">W85*-1</f>
        <v>-1280</v>
      </c>
      <c r="Q85" s="492">
        <v>0</v>
      </c>
      <c r="R85" s="325">
        <v>0</v>
      </c>
      <c r="S85" s="325">
        <v>0</v>
      </c>
      <c r="T85" s="325">
        <v>0</v>
      </c>
      <c r="U85" s="325">
        <v>0</v>
      </c>
      <c r="V85" s="492">
        <f>P85+Q85+R85+S85+T85+U85</f>
        <v>-1280</v>
      </c>
      <c r="W85" s="325">
        <v>1280</v>
      </c>
      <c r="X85" s="325">
        <v>0</v>
      </c>
      <c r="Y85" s="325">
        <v>0</v>
      </c>
      <c r="Z85" s="492">
        <f>W85+X85+Y85</f>
        <v>1280</v>
      </c>
      <c r="AA85" s="492">
        <f>V85+Z85</f>
        <v>0</v>
      </c>
      <c r="AB85" s="494">
        <f>ROUND((V85+Z85)*33.8%,0)</f>
        <v>0</v>
      </c>
      <c r="AC85" s="494">
        <f>ROUND(V85*1%,0)</f>
        <v>-13</v>
      </c>
      <c r="AD85" s="492">
        <v>0</v>
      </c>
      <c r="AE85" s="753">
        <f t="shared" ref="AE85:AE88" si="56">AA85+AB85+AC85+AD85</f>
        <v>-13</v>
      </c>
      <c r="AF85" s="688">
        <v>0</v>
      </c>
      <c r="AG85" s="871">
        <v>0</v>
      </c>
      <c r="AH85" s="326">
        <v>0</v>
      </c>
      <c r="AI85" s="326">
        <v>0</v>
      </c>
      <c r="AJ85" s="326">
        <v>0</v>
      </c>
      <c r="AK85" s="326">
        <v>0</v>
      </c>
      <c r="AL85" s="609">
        <f>SUM(AF85:AK85)</f>
        <v>0</v>
      </c>
      <c r="AM85" s="676">
        <f>I85+AE85</f>
        <v>4522752</v>
      </c>
      <c r="AN85" s="492">
        <f>J85+V85</f>
        <v>3351981</v>
      </c>
      <c r="AO85" s="573">
        <f>K85+Z85</f>
        <v>3200</v>
      </c>
      <c r="AP85" s="492">
        <f t="shared" ref="AP85:AR88" si="57">L85+AB85</f>
        <v>1134051</v>
      </c>
      <c r="AQ85" s="492">
        <f t="shared" si="57"/>
        <v>33520</v>
      </c>
      <c r="AR85" s="492">
        <f t="shared" si="57"/>
        <v>0</v>
      </c>
      <c r="AS85" s="609">
        <f>O85+AL85</f>
        <v>5.6452</v>
      </c>
    </row>
    <row r="86" spans="1:45" ht="12.95" customHeight="1" x14ac:dyDescent="0.25">
      <c r="A86" s="205">
        <v>19</v>
      </c>
      <c r="B86" s="206">
        <v>4441</v>
      </c>
      <c r="C86" s="206">
        <v>600074668</v>
      </c>
      <c r="D86" s="206">
        <v>46750495</v>
      </c>
      <c r="E86" s="222" t="s">
        <v>330</v>
      </c>
      <c r="F86" s="223">
        <v>3117</v>
      </c>
      <c r="G86" s="209" t="s">
        <v>294</v>
      </c>
      <c r="H86" s="209" t="s">
        <v>262</v>
      </c>
      <c r="I86" s="580">
        <v>3632876</v>
      </c>
      <c r="J86" s="490">
        <v>2695012</v>
      </c>
      <c r="K86" s="554">
        <v>0</v>
      </c>
      <c r="L86" s="431">
        <v>910914</v>
      </c>
      <c r="M86" s="431">
        <v>26950</v>
      </c>
      <c r="N86" s="325">
        <v>0</v>
      </c>
      <c r="O86" s="719">
        <v>4.0454999999999997</v>
      </c>
      <c r="P86" s="327">
        <f t="shared" si="55"/>
        <v>0</v>
      </c>
      <c r="Q86" s="492">
        <v>0</v>
      </c>
      <c r="R86" s="325">
        <v>0</v>
      </c>
      <c r="S86" s="325">
        <v>0</v>
      </c>
      <c r="T86" s="325">
        <v>0</v>
      </c>
      <c r="U86" s="325">
        <v>0</v>
      </c>
      <c r="V86" s="492">
        <f>P86+Q86+R86+S86+T86+U86</f>
        <v>0</v>
      </c>
      <c r="W86" s="325">
        <v>0</v>
      </c>
      <c r="X86" s="325">
        <v>0</v>
      </c>
      <c r="Y86" s="325">
        <v>0</v>
      </c>
      <c r="Z86" s="492">
        <f>W86+X86+Y86</f>
        <v>0</v>
      </c>
      <c r="AA86" s="492">
        <f>V86+Z86</f>
        <v>0</v>
      </c>
      <c r="AB86" s="494">
        <f>ROUND((V86+Z86)*33.8%,0)</f>
        <v>0</v>
      </c>
      <c r="AC86" s="494">
        <f>ROUND(V86*1%,0)</f>
        <v>0</v>
      </c>
      <c r="AD86" s="492">
        <v>0</v>
      </c>
      <c r="AE86" s="753">
        <f t="shared" si="56"/>
        <v>0</v>
      </c>
      <c r="AF86" s="688">
        <v>0</v>
      </c>
      <c r="AG86" s="871">
        <v>0</v>
      </c>
      <c r="AH86" s="326">
        <v>0</v>
      </c>
      <c r="AI86" s="326">
        <v>0</v>
      </c>
      <c r="AJ86" s="326">
        <v>0</v>
      </c>
      <c r="AK86" s="326">
        <v>0</v>
      </c>
      <c r="AL86" s="609">
        <f>SUM(AF86:AK86)</f>
        <v>0</v>
      </c>
      <c r="AM86" s="676">
        <f>I86+AE86</f>
        <v>3632876</v>
      </c>
      <c r="AN86" s="492">
        <f>J86+V86</f>
        <v>2695012</v>
      </c>
      <c r="AO86" s="573">
        <f>K86+Z86</f>
        <v>0</v>
      </c>
      <c r="AP86" s="492">
        <f t="shared" si="57"/>
        <v>910914</v>
      </c>
      <c r="AQ86" s="492">
        <f t="shared" si="57"/>
        <v>26950</v>
      </c>
      <c r="AR86" s="492">
        <f t="shared" si="57"/>
        <v>0</v>
      </c>
      <c r="AS86" s="609">
        <f>O86+AL86</f>
        <v>4.0454999999999997</v>
      </c>
    </row>
    <row r="87" spans="1:45" ht="12.95" customHeight="1" x14ac:dyDescent="0.25">
      <c r="A87" s="205">
        <v>19</v>
      </c>
      <c r="B87" s="206">
        <v>4441</v>
      </c>
      <c r="C87" s="206">
        <v>600074668</v>
      </c>
      <c r="D87" s="206">
        <v>46750495</v>
      </c>
      <c r="E87" s="222" t="s">
        <v>330</v>
      </c>
      <c r="F87" s="223">
        <v>3117</v>
      </c>
      <c r="G87" s="209" t="s">
        <v>284</v>
      </c>
      <c r="H87" s="209" t="s">
        <v>263</v>
      </c>
      <c r="I87" s="580">
        <v>668689</v>
      </c>
      <c r="J87" s="490">
        <v>496060</v>
      </c>
      <c r="K87" s="554">
        <v>0</v>
      </c>
      <c r="L87" s="431">
        <v>167668</v>
      </c>
      <c r="M87" s="431">
        <v>4961</v>
      </c>
      <c r="N87" s="325">
        <v>0</v>
      </c>
      <c r="O87" s="719">
        <v>1.25</v>
      </c>
      <c r="P87" s="327">
        <f t="shared" si="55"/>
        <v>0</v>
      </c>
      <c r="Q87" s="492">
        <v>0</v>
      </c>
      <c r="R87" s="325">
        <v>0</v>
      </c>
      <c r="S87" s="325">
        <v>0</v>
      </c>
      <c r="T87" s="325">
        <v>0</v>
      </c>
      <c r="U87" s="325">
        <v>0</v>
      </c>
      <c r="V87" s="492">
        <f>P87+Q87+R87+S87+T87+U87</f>
        <v>0</v>
      </c>
      <c r="W87" s="325">
        <v>0</v>
      </c>
      <c r="X87" s="325">
        <v>0</v>
      </c>
      <c r="Y87" s="325">
        <v>0</v>
      </c>
      <c r="Z87" s="492">
        <f>W87+X87+Y87</f>
        <v>0</v>
      </c>
      <c r="AA87" s="492">
        <f>V87+Z87</f>
        <v>0</v>
      </c>
      <c r="AB87" s="494">
        <f>ROUND((V87+Z87)*33.8%,0)</f>
        <v>0</v>
      </c>
      <c r="AC87" s="494">
        <f>ROUND(V87*1%,0)</f>
        <v>0</v>
      </c>
      <c r="AD87" s="492">
        <v>0</v>
      </c>
      <c r="AE87" s="753">
        <f t="shared" si="56"/>
        <v>0</v>
      </c>
      <c r="AF87" s="688">
        <v>0</v>
      </c>
      <c r="AG87" s="871">
        <v>0</v>
      </c>
      <c r="AH87" s="326">
        <v>0</v>
      </c>
      <c r="AI87" s="326">
        <v>0</v>
      </c>
      <c r="AJ87" s="326">
        <v>0</v>
      </c>
      <c r="AK87" s="326">
        <v>0</v>
      </c>
      <c r="AL87" s="609">
        <f>SUM(AF87:AK87)</f>
        <v>0</v>
      </c>
      <c r="AM87" s="676">
        <f>I87+AE87</f>
        <v>668689</v>
      </c>
      <c r="AN87" s="492">
        <f>J87+V87</f>
        <v>496060</v>
      </c>
      <c r="AO87" s="573">
        <f>K87+Z87</f>
        <v>0</v>
      </c>
      <c r="AP87" s="492">
        <f t="shared" si="57"/>
        <v>167668</v>
      </c>
      <c r="AQ87" s="492">
        <f t="shared" si="57"/>
        <v>4961</v>
      </c>
      <c r="AR87" s="492">
        <f t="shared" si="57"/>
        <v>0</v>
      </c>
      <c r="AS87" s="609">
        <f>O87+AL87</f>
        <v>1.25</v>
      </c>
    </row>
    <row r="88" spans="1:45" ht="12.95" customHeight="1" x14ac:dyDescent="0.25">
      <c r="A88" s="205">
        <v>19</v>
      </c>
      <c r="B88" s="206">
        <v>4441</v>
      </c>
      <c r="C88" s="206">
        <v>600074668</v>
      </c>
      <c r="D88" s="206">
        <v>46750495</v>
      </c>
      <c r="E88" s="222" t="s">
        <v>330</v>
      </c>
      <c r="F88" s="223">
        <v>3143</v>
      </c>
      <c r="G88" s="209" t="s">
        <v>794</v>
      </c>
      <c r="H88" s="209" t="s">
        <v>262</v>
      </c>
      <c r="I88" s="580">
        <v>1286116</v>
      </c>
      <c r="J88" s="490">
        <v>954092</v>
      </c>
      <c r="K88" s="554">
        <v>0</v>
      </c>
      <c r="L88" s="431">
        <v>322483</v>
      </c>
      <c r="M88" s="431">
        <v>9541</v>
      </c>
      <c r="N88" s="325">
        <v>0</v>
      </c>
      <c r="O88" s="719">
        <v>1.8096000000000001</v>
      </c>
      <c r="P88" s="327">
        <f t="shared" si="55"/>
        <v>0</v>
      </c>
      <c r="Q88" s="492">
        <v>0</v>
      </c>
      <c r="R88" s="325">
        <v>0</v>
      </c>
      <c r="S88" s="325">
        <v>0</v>
      </c>
      <c r="T88" s="325">
        <v>0</v>
      </c>
      <c r="U88" s="325">
        <v>0</v>
      </c>
      <c r="V88" s="492">
        <f>P88+Q88+R88+S88+T88+U88</f>
        <v>0</v>
      </c>
      <c r="W88" s="325">
        <v>0</v>
      </c>
      <c r="X88" s="325">
        <v>0</v>
      </c>
      <c r="Y88" s="325">
        <v>0</v>
      </c>
      <c r="Z88" s="492">
        <f>W88+X88+Y88</f>
        <v>0</v>
      </c>
      <c r="AA88" s="492">
        <f>V88+Z88</f>
        <v>0</v>
      </c>
      <c r="AB88" s="494">
        <f>ROUND((V88+Z88)*33.8%,0)</f>
        <v>0</v>
      </c>
      <c r="AC88" s="494">
        <f>ROUND(V88*1%,0)</f>
        <v>0</v>
      </c>
      <c r="AD88" s="492">
        <v>0</v>
      </c>
      <c r="AE88" s="753">
        <f t="shared" si="56"/>
        <v>0</v>
      </c>
      <c r="AF88" s="688">
        <v>0</v>
      </c>
      <c r="AG88" s="871">
        <v>0</v>
      </c>
      <c r="AH88" s="326">
        <v>0</v>
      </c>
      <c r="AI88" s="326">
        <v>0</v>
      </c>
      <c r="AJ88" s="326">
        <v>0</v>
      </c>
      <c r="AK88" s="326">
        <v>0</v>
      </c>
      <c r="AL88" s="609">
        <f>SUM(AF88:AK88)</f>
        <v>0</v>
      </c>
      <c r="AM88" s="676">
        <f>I88+AE88</f>
        <v>1286116</v>
      </c>
      <c r="AN88" s="492">
        <f>J88+V88</f>
        <v>954092</v>
      </c>
      <c r="AO88" s="573">
        <f>K88+Z88</f>
        <v>0</v>
      </c>
      <c r="AP88" s="492">
        <f t="shared" si="57"/>
        <v>322483</v>
      </c>
      <c r="AQ88" s="492">
        <f t="shared" si="57"/>
        <v>9541</v>
      </c>
      <c r="AR88" s="492">
        <f t="shared" si="57"/>
        <v>0</v>
      </c>
      <c r="AS88" s="609">
        <f>O88+AL88</f>
        <v>1.8096000000000001</v>
      </c>
    </row>
    <row r="89" spans="1:45" ht="12.95" customHeight="1" x14ac:dyDescent="0.25">
      <c r="A89" s="198">
        <v>19</v>
      </c>
      <c r="B89" s="200">
        <v>4441</v>
      </c>
      <c r="C89" s="200">
        <v>600074668</v>
      </c>
      <c r="D89" s="200">
        <v>46750495</v>
      </c>
      <c r="E89" s="219" t="s">
        <v>331</v>
      </c>
      <c r="F89" s="220"/>
      <c r="G89" s="221"/>
      <c r="H89" s="221"/>
      <c r="I89" s="670">
        <v>10110446</v>
      </c>
      <c r="J89" s="353">
        <v>7498425</v>
      </c>
      <c r="K89" s="353">
        <v>1920</v>
      </c>
      <c r="L89" s="353">
        <v>2535116</v>
      </c>
      <c r="M89" s="353">
        <v>74985</v>
      </c>
      <c r="N89" s="353">
        <v>0</v>
      </c>
      <c r="O89" s="781">
        <v>12.750299999999999</v>
      </c>
      <c r="P89" s="670">
        <f t="shared" ref="P89:AS89" si="58">SUM(P85:P88)</f>
        <v>-1280</v>
      </c>
      <c r="Q89" s="353">
        <f t="shared" si="58"/>
        <v>0</v>
      </c>
      <c r="R89" s="353">
        <f t="shared" si="58"/>
        <v>0</v>
      </c>
      <c r="S89" s="353">
        <f t="shared" si="58"/>
        <v>0</v>
      </c>
      <c r="T89" s="353">
        <f t="shared" si="58"/>
        <v>0</v>
      </c>
      <c r="U89" s="353">
        <f t="shared" si="58"/>
        <v>0</v>
      </c>
      <c r="V89" s="353">
        <f t="shared" si="58"/>
        <v>-1280</v>
      </c>
      <c r="W89" s="353">
        <f t="shared" si="58"/>
        <v>1280</v>
      </c>
      <c r="X89" s="353">
        <f t="shared" si="58"/>
        <v>0</v>
      </c>
      <c r="Y89" s="353">
        <f t="shared" si="58"/>
        <v>0</v>
      </c>
      <c r="Z89" s="353">
        <f t="shared" si="58"/>
        <v>1280</v>
      </c>
      <c r="AA89" s="353">
        <f t="shared" si="58"/>
        <v>0</v>
      </c>
      <c r="AB89" s="353">
        <f t="shared" si="58"/>
        <v>0</v>
      </c>
      <c r="AC89" s="353">
        <f t="shared" si="58"/>
        <v>-13</v>
      </c>
      <c r="AD89" s="353">
        <f t="shared" si="58"/>
        <v>0</v>
      </c>
      <c r="AE89" s="667">
        <f t="shared" si="58"/>
        <v>-13</v>
      </c>
      <c r="AF89" s="794">
        <v>0</v>
      </c>
      <c r="AG89" s="872">
        <f t="shared" si="58"/>
        <v>0</v>
      </c>
      <c r="AH89" s="354">
        <f t="shared" si="58"/>
        <v>0</v>
      </c>
      <c r="AI89" s="354">
        <f t="shared" si="58"/>
        <v>0</v>
      </c>
      <c r="AJ89" s="354">
        <f t="shared" si="58"/>
        <v>0</v>
      </c>
      <c r="AK89" s="354">
        <f t="shared" si="58"/>
        <v>0</v>
      </c>
      <c r="AL89" s="215">
        <f t="shared" si="58"/>
        <v>0</v>
      </c>
      <c r="AM89" s="670">
        <f t="shared" si="58"/>
        <v>10110433</v>
      </c>
      <c r="AN89" s="353">
        <f t="shared" si="58"/>
        <v>7497145</v>
      </c>
      <c r="AO89" s="353">
        <f t="shared" si="58"/>
        <v>3200</v>
      </c>
      <c r="AP89" s="353">
        <f t="shared" si="58"/>
        <v>2535116</v>
      </c>
      <c r="AQ89" s="353">
        <f t="shared" si="58"/>
        <v>74972</v>
      </c>
      <c r="AR89" s="353">
        <f t="shared" si="58"/>
        <v>0</v>
      </c>
      <c r="AS89" s="215">
        <f t="shared" si="58"/>
        <v>12.750299999999999</v>
      </c>
    </row>
    <row r="90" spans="1:45" ht="12.95" customHeight="1" x14ac:dyDescent="0.25">
      <c r="A90" s="205">
        <v>20</v>
      </c>
      <c r="B90" s="206">
        <v>4428</v>
      </c>
      <c r="C90" s="206">
        <v>600074242</v>
      </c>
      <c r="D90" s="206">
        <v>71010513</v>
      </c>
      <c r="E90" s="222" t="s">
        <v>332</v>
      </c>
      <c r="F90" s="223">
        <v>3111</v>
      </c>
      <c r="G90" s="209" t="s">
        <v>290</v>
      </c>
      <c r="H90" s="209" t="s">
        <v>262</v>
      </c>
      <c r="I90" s="580">
        <v>1859892</v>
      </c>
      <c r="J90" s="490">
        <v>1379742</v>
      </c>
      <c r="K90" s="554">
        <v>0</v>
      </c>
      <c r="L90" s="431">
        <v>466353</v>
      </c>
      <c r="M90" s="431">
        <v>13797</v>
      </c>
      <c r="N90" s="325">
        <v>0</v>
      </c>
      <c r="O90" s="719">
        <v>2.29</v>
      </c>
      <c r="P90" s="327">
        <f>W90*-1</f>
        <v>0</v>
      </c>
      <c r="Q90" s="492">
        <v>0</v>
      </c>
      <c r="R90" s="325">
        <v>0</v>
      </c>
      <c r="S90" s="325">
        <v>0</v>
      </c>
      <c r="T90" s="325">
        <v>0</v>
      </c>
      <c r="U90" s="325">
        <v>0</v>
      </c>
      <c r="V90" s="492">
        <f>P90+Q90+R90+S90+T90+U90</f>
        <v>0</v>
      </c>
      <c r="W90" s="325">
        <v>0</v>
      </c>
      <c r="X90" s="325">
        <v>0</v>
      </c>
      <c r="Y90" s="325">
        <v>0</v>
      </c>
      <c r="Z90" s="492">
        <f>W90+X90+Y90</f>
        <v>0</v>
      </c>
      <c r="AA90" s="492">
        <f>V90+Z90</f>
        <v>0</v>
      </c>
      <c r="AB90" s="494">
        <f>ROUND((V90+Z90)*33.8%,0)</f>
        <v>0</v>
      </c>
      <c r="AC90" s="494">
        <f>ROUND(V90*1%,0)</f>
        <v>0</v>
      </c>
      <c r="AD90" s="492">
        <v>0</v>
      </c>
      <c r="AE90" s="753">
        <f t="shared" ref="AE90:AE91" si="59">AA90+AB90+AC90+AD90</f>
        <v>0</v>
      </c>
      <c r="AF90" s="688">
        <v>0</v>
      </c>
      <c r="AG90" s="871">
        <v>0</v>
      </c>
      <c r="AH90" s="326">
        <v>0</v>
      </c>
      <c r="AI90" s="326">
        <v>0</v>
      </c>
      <c r="AJ90" s="326">
        <v>0</v>
      </c>
      <c r="AK90" s="326">
        <v>0</v>
      </c>
      <c r="AL90" s="609">
        <f>SUM(AF90:AK90)</f>
        <v>0</v>
      </c>
      <c r="AM90" s="676">
        <f>I90+AE90</f>
        <v>1859892</v>
      </c>
      <c r="AN90" s="492">
        <f>J90+V90</f>
        <v>1379742</v>
      </c>
      <c r="AO90" s="573">
        <f>K90+Z90</f>
        <v>0</v>
      </c>
      <c r="AP90" s="492">
        <f t="shared" ref="AP90:AR91" si="60">L90+AB90</f>
        <v>466353</v>
      </c>
      <c r="AQ90" s="492">
        <f t="shared" si="60"/>
        <v>13797</v>
      </c>
      <c r="AR90" s="492">
        <f t="shared" si="60"/>
        <v>0</v>
      </c>
      <c r="AS90" s="609">
        <f>O90+AL90</f>
        <v>2.29</v>
      </c>
    </row>
    <row r="91" spans="1:45" ht="12.95" customHeight="1" x14ac:dyDescent="0.25">
      <c r="A91" s="205">
        <v>20</v>
      </c>
      <c r="B91" s="206">
        <v>4428</v>
      </c>
      <c r="C91" s="206">
        <v>600074242</v>
      </c>
      <c r="D91" s="206">
        <v>71010513</v>
      </c>
      <c r="E91" s="222" t="s">
        <v>332</v>
      </c>
      <c r="F91" s="223">
        <v>3111</v>
      </c>
      <c r="G91" s="224" t="s">
        <v>284</v>
      </c>
      <c r="H91" s="209" t="s">
        <v>263</v>
      </c>
      <c r="I91" s="580">
        <v>0</v>
      </c>
      <c r="J91" s="490">
        <v>0</v>
      </c>
      <c r="K91" s="554">
        <v>0</v>
      </c>
      <c r="L91" s="431">
        <v>0</v>
      </c>
      <c r="M91" s="431">
        <v>0</v>
      </c>
      <c r="N91" s="325">
        <v>0</v>
      </c>
      <c r="O91" s="719">
        <v>0</v>
      </c>
      <c r="P91" s="327">
        <f>W91*-1</f>
        <v>0</v>
      </c>
      <c r="Q91" s="492">
        <v>0</v>
      </c>
      <c r="R91" s="325">
        <v>0</v>
      </c>
      <c r="S91" s="325">
        <v>0</v>
      </c>
      <c r="T91" s="325">
        <v>0</v>
      </c>
      <c r="U91" s="325">
        <v>0</v>
      </c>
      <c r="V91" s="492">
        <f>P91+Q91+R91+S91+T91+U91</f>
        <v>0</v>
      </c>
      <c r="W91" s="325">
        <v>0</v>
      </c>
      <c r="X91" s="325">
        <v>0</v>
      </c>
      <c r="Y91" s="325">
        <v>0</v>
      </c>
      <c r="Z91" s="492">
        <f>W91+X91+Y91</f>
        <v>0</v>
      </c>
      <c r="AA91" s="492">
        <f>V91+Z91</f>
        <v>0</v>
      </c>
      <c r="AB91" s="494">
        <f>ROUND((V91+Z91)*33.8%,0)</f>
        <v>0</v>
      </c>
      <c r="AC91" s="494">
        <f>ROUND(V91*1%,0)</f>
        <v>0</v>
      </c>
      <c r="AD91" s="492">
        <v>0</v>
      </c>
      <c r="AE91" s="753">
        <f t="shared" si="59"/>
        <v>0</v>
      </c>
      <c r="AF91" s="688">
        <v>0</v>
      </c>
      <c r="AG91" s="871">
        <v>0</v>
      </c>
      <c r="AH91" s="326">
        <v>0</v>
      </c>
      <c r="AI91" s="326">
        <v>0</v>
      </c>
      <c r="AJ91" s="326">
        <v>0</v>
      </c>
      <c r="AK91" s="326">
        <v>0</v>
      </c>
      <c r="AL91" s="609">
        <f>SUM(AF91:AK91)</f>
        <v>0</v>
      </c>
      <c r="AM91" s="676">
        <f>I91+AE91</f>
        <v>0</v>
      </c>
      <c r="AN91" s="492">
        <f>J91+V91</f>
        <v>0</v>
      </c>
      <c r="AO91" s="573">
        <f>K91+Z91</f>
        <v>0</v>
      </c>
      <c r="AP91" s="492">
        <f t="shared" si="60"/>
        <v>0</v>
      </c>
      <c r="AQ91" s="492">
        <f t="shared" si="60"/>
        <v>0</v>
      </c>
      <c r="AR91" s="492">
        <f t="shared" si="60"/>
        <v>0</v>
      </c>
      <c r="AS91" s="609">
        <f>O91+AL91</f>
        <v>0</v>
      </c>
    </row>
    <row r="92" spans="1:45" ht="12.95" customHeight="1" x14ac:dyDescent="0.25">
      <c r="A92" s="198">
        <v>20</v>
      </c>
      <c r="B92" s="200">
        <v>4428</v>
      </c>
      <c r="C92" s="200">
        <v>600074242</v>
      </c>
      <c r="D92" s="200">
        <v>71010513</v>
      </c>
      <c r="E92" s="219" t="s">
        <v>333</v>
      </c>
      <c r="F92" s="220"/>
      <c r="G92" s="221"/>
      <c r="H92" s="221"/>
      <c r="I92" s="670">
        <v>1859892</v>
      </c>
      <c r="J92" s="353">
        <v>1379742</v>
      </c>
      <c r="K92" s="353">
        <v>0</v>
      </c>
      <c r="L92" s="353">
        <v>466353</v>
      </c>
      <c r="M92" s="353">
        <v>13797</v>
      </c>
      <c r="N92" s="353">
        <v>0</v>
      </c>
      <c r="O92" s="781">
        <v>2.29</v>
      </c>
      <c r="P92" s="670">
        <f t="shared" ref="P92:AS92" si="61">SUM(P90:P91)</f>
        <v>0</v>
      </c>
      <c r="Q92" s="353">
        <f t="shared" si="61"/>
        <v>0</v>
      </c>
      <c r="R92" s="353">
        <f t="shared" si="61"/>
        <v>0</v>
      </c>
      <c r="S92" s="353">
        <f t="shared" si="61"/>
        <v>0</v>
      </c>
      <c r="T92" s="353">
        <f t="shared" si="61"/>
        <v>0</v>
      </c>
      <c r="U92" s="353">
        <f t="shared" si="61"/>
        <v>0</v>
      </c>
      <c r="V92" s="353">
        <f t="shared" si="61"/>
        <v>0</v>
      </c>
      <c r="W92" s="353">
        <f t="shared" si="61"/>
        <v>0</v>
      </c>
      <c r="X92" s="353">
        <f t="shared" si="61"/>
        <v>0</v>
      </c>
      <c r="Y92" s="353">
        <f t="shared" si="61"/>
        <v>0</v>
      </c>
      <c r="Z92" s="353">
        <f t="shared" si="61"/>
        <v>0</v>
      </c>
      <c r="AA92" s="353">
        <f t="shared" si="61"/>
        <v>0</v>
      </c>
      <c r="AB92" s="353">
        <f t="shared" si="61"/>
        <v>0</v>
      </c>
      <c r="AC92" s="353">
        <f t="shared" si="61"/>
        <v>0</v>
      </c>
      <c r="AD92" s="353">
        <f t="shared" si="61"/>
        <v>0</v>
      </c>
      <c r="AE92" s="667">
        <f t="shared" si="61"/>
        <v>0</v>
      </c>
      <c r="AF92" s="794">
        <v>0</v>
      </c>
      <c r="AG92" s="872">
        <f t="shared" si="61"/>
        <v>0</v>
      </c>
      <c r="AH92" s="354">
        <f t="shared" si="61"/>
        <v>0</v>
      </c>
      <c r="AI92" s="354">
        <f t="shared" si="61"/>
        <v>0</v>
      </c>
      <c r="AJ92" s="354">
        <f t="shared" si="61"/>
        <v>0</v>
      </c>
      <c r="AK92" s="354">
        <f t="shared" si="61"/>
        <v>0</v>
      </c>
      <c r="AL92" s="215">
        <f t="shared" si="61"/>
        <v>0</v>
      </c>
      <c r="AM92" s="670">
        <f t="shared" si="61"/>
        <v>1859892</v>
      </c>
      <c r="AN92" s="353">
        <f t="shared" si="61"/>
        <v>1379742</v>
      </c>
      <c r="AO92" s="353">
        <f t="shared" si="61"/>
        <v>0</v>
      </c>
      <c r="AP92" s="353">
        <f t="shared" si="61"/>
        <v>466353</v>
      </c>
      <c r="AQ92" s="353">
        <f t="shared" si="61"/>
        <v>13797</v>
      </c>
      <c r="AR92" s="353">
        <f t="shared" si="61"/>
        <v>0</v>
      </c>
      <c r="AS92" s="215">
        <f t="shared" si="61"/>
        <v>2.29</v>
      </c>
    </row>
    <row r="93" spans="1:45" ht="12.95" customHeight="1" x14ac:dyDescent="0.25">
      <c r="A93" s="205">
        <v>21</v>
      </c>
      <c r="B93" s="206">
        <v>4463</v>
      </c>
      <c r="C93" s="206">
        <v>600074684</v>
      </c>
      <c r="D93" s="206">
        <v>71010467</v>
      </c>
      <c r="E93" s="222" t="s">
        <v>334</v>
      </c>
      <c r="F93" s="223">
        <v>3117</v>
      </c>
      <c r="G93" s="224" t="s">
        <v>294</v>
      </c>
      <c r="H93" s="209" t="s">
        <v>262</v>
      </c>
      <c r="I93" s="580">
        <v>2710054</v>
      </c>
      <c r="J93" s="490">
        <v>2010426</v>
      </c>
      <c r="K93" s="554">
        <v>0</v>
      </c>
      <c r="L93" s="431">
        <v>679524</v>
      </c>
      <c r="M93" s="431">
        <v>20104</v>
      </c>
      <c r="N93" s="325">
        <v>0</v>
      </c>
      <c r="O93" s="719">
        <v>2.6364000000000001</v>
      </c>
      <c r="P93" s="327">
        <f>W93*-1</f>
        <v>0</v>
      </c>
      <c r="Q93" s="492">
        <v>0</v>
      </c>
      <c r="R93" s="325">
        <v>0</v>
      </c>
      <c r="S93" s="325">
        <v>0</v>
      </c>
      <c r="T93" s="325">
        <v>0</v>
      </c>
      <c r="U93" s="325">
        <v>0</v>
      </c>
      <c r="V93" s="492">
        <f>P93+Q93+R93+S93+T93+U93</f>
        <v>0</v>
      </c>
      <c r="W93" s="325">
        <v>0</v>
      </c>
      <c r="X93" s="325">
        <v>0</v>
      </c>
      <c r="Y93" s="325">
        <v>0</v>
      </c>
      <c r="Z93" s="492">
        <f>W93+X93+Y93</f>
        <v>0</v>
      </c>
      <c r="AA93" s="492">
        <f>V93+Z93</f>
        <v>0</v>
      </c>
      <c r="AB93" s="494">
        <f>ROUND((V93+Z93)*33.8%,0)</f>
        <v>0</v>
      </c>
      <c r="AC93" s="494">
        <f>ROUND(V93*1%,0)</f>
        <v>0</v>
      </c>
      <c r="AD93" s="492">
        <v>0</v>
      </c>
      <c r="AE93" s="753">
        <f t="shared" ref="AE93:AE95" si="62">AA93+AB93+AC93+AD93</f>
        <v>0</v>
      </c>
      <c r="AF93" s="688">
        <v>0</v>
      </c>
      <c r="AG93" s="871">
        <v>0</v>
      </c>
      <c r="AH93" s="326">
        <v>0</v>
      </c>
      <c r="AI93" s="326">
        <v>0</v>
      </c>
      <c r="AJ93" s="326">
        <v>0</v>
      </c>
      <c r="AK93" s="326">
        <v>0</v>
      </c>
      <c r="AL93" s="609">
        <f>SUM(AF93:AK93)</f>
        <v>0</v>
      </c>
      <c r="AM93" s="676">
        <f>I93+AE93</f>
        <v>2710054</v>
      </c>
      <c r="AN93" s="492">
        <f>J93+V93</f>
        <v>2010426</v>
      </c>
      <c r="AO93" s="573">
        <f>K93+Z93</f>
        <v>0</v>
      </c>
      <c r="AP93" s="492">
        <f t="shared" ref="AP93:AR95" si="63">L93+AB93</f>
        <v>679524</v>
      </c>
      <c r="AQ93" s="492">
        <f t="shared" si="63"/>
        <v>20104</v>
      </c>
      <c r="AR93" s="492">
        <f t="shared" si="63"/>
        <v>0</v>
      </c>
      <c r="AS93" s="609">
        <f>O93+AL93</f>
        <v>2.6364000000000001</v>
      </c>
    </row>
    <row r="94" spans="1:45" ht="12.95" customHeight="1" x14ac:dyDescent="0.25">
      <c r="A94" s="205">
        <v>21</v>
      </c>
      <c r="B94" s="206">
        <v>4463</v>
      </c>
      <c r="C94" s="206">
        <v>600074684</v>
      </c>
      <c r="D94" s="206">
        <v>71010467</v>
      </c>
      <c r="E94" s="222" t="s">
        <v>334</v>
      </c>
      <c r="F94" s="223">
        <v>3117</v>
      </c>
      <c r="G94" s="209" t="s">
        <v>284</v>
      </c>
      <c r="H94" s="209" t="s">
        <v>263</v>
      </c>
      <c r="I94" s="580">
        <v>267475</v>
      </c>
      <c r="J94" s="490">
        <v>198424</v>
      </c>
      <c r="K94" s="554">
        <v>0</v>
      </c>
      <c r="L94" s="431">
        <v>67067</v>
      </c>
      <c r="M94" s="431">
        <v>1984</v>
      </c>
      <c r="N94" s="325">
        <v>0</v>
      </c>
      <c r="O94" s="719">
        <v>0.5</v>
      </c>
      <c r="P94" s="327">
        <f>W94*-1</f>
        <v>0</v>
      </c>
      <c r="Q94" s="492">
        <v>0</v>
      </c>
      <c r="R94" s="325">
        <v>0</v>
      </c>
      <c r="S94" s="325">
        <v>0</v>
      </c>
      <c r="T94" s="325">
        <v>0</v>
      </c>
      <c r="U94" s="325">
        <v>0</v>
      </c>
      <c r="V94" s="492">
        <f>P94+Q94+R94+S94+T94+U94</f>
        <v>0</v>
      </c>
      <c r="W94" s="325">
        <v>0</v>
      </c>
      <c r="X94" s="325">
        <v>0</v>
      </c>
      <c r="Y94" s="325">
        <v>0</v>
      </c>
      <c r="Z94" s="492">
        <f>W94+X94+Y94</f>
        <v>0</v>
      </c>
      <c r="AA94" s="492">
        <f>V94+Z94</f>
        <v>0</v>
      </c>
      <c r="AB94" s="494">
        <f>ROUND((V94+Z94)*33.8%,0)</f>
        <v>0</v>
      </c>
      <c r="AC94" s="494">
        <f>ROUND(V94*1%,0)</f>
        <v>0</v>
      </c>
      <c r="AD94" s="492">
        <v>0</v>
      </c>
      <c r="AE94" s="753">
        <f t="shared" si="62"/>
        <v>0</v>
      </c>
      <c r="AF94" s="688">
        <v>0</v>
      </c>
      <c r="AG94" s="871">
        <v>0</v>
      </c>
      <c r="AH94" s="326">
        <v>0</v>
      </c>
      <c r="AI94" s="326">
        <v>0</v>
      </c>
      <c r="AJ94" s="326">
        <v>0</v>
      </c>
      <c r="AK94" s="326">
        <v>0</v>
      </c>
      <c r="AL94" s="609">
        <f>SUM(AF94:AK94)</f>
        <v>0</v>
      </c>
      <c r="AM94" s="676">
        <f>I94+AE94</f>
        <v>267475</v>
      </c>
      <c r="AN94" s="492">
        <f>J94+V94</f>
        <v>198424</v>
      </c>
      <c r="AO94" s="573">
        <f>K94+Z94</f>
        <v>0</v>
      </c>
      <c r="AP94" s="492">
        <f t="shared" si="63"/>
        <v>67067</v>
      </c>
      <c r="AQ94" s="492">
        <f t="shared" si="63"/>
        <v>1984</v>
      </c>
      <c r="AR94" s="492">
        <f t="shared" si="63"/>
        <v>0</v>
      </c>
      <c r="AS94" s="609">
        <f>O94+AL94</f>
        <v>0.5</v>
      </c>
    </row>
    <row r="95" spans="1:45" ht="14.25" customHeight="1" x14ac:dyDescent="0.25">
      <c r="A95" s="205">
        <v>21</v>
      </c>
      <c r="B95" s="206">
        <v>4463</v>
      </c>
      <c r="C95" s="206">
        <v>600074684</v>
      </c>
      <c r="D95" s="206">
        <v>71010467</v>
      </c>
      <c r="E95" s="222" t="s">
        <v>334</v>
      </c>
      <c r="F95" s="223">
        <v>3143</v>
      </c>
      <c r="G95" s="209" t="s">
        <v>795</v>
      </c>
      <c r="H95" s="209" t="s">
        <v>262</v>
      </c>
      <c r="I95" s="580">
        <v>648750</v>
      </c>
      <c r="J95" s="490">
        <v>481268</v>
      </c>
      <c r="K95" s="554">
        <v>0</v>
      </c>
      <c r="L95" s="431">
        <v>162669</v>
      </c>
      <c r="M95" s="431">
        <v>4813</v>
      </c>
      <c r="N95" s="325">
        <v>0</v>
      </c>
      <c r="O95" s="719">
        <v>0.85709999999999997</v>
      </c>
      <c r="P95" s="327">
        <f>W95*-1</f>
        <v>0</v>
      </c>
      <c r="Q95" s="492">
        <v>0</v>
      </c>
      <c r="R95" s="325">
        <v>0</v>
      </c>
      <c r="S95" s="325">
        <v>0</v>
      </c>
      <c r="T95" s="325">
        <v>0</v>
      </c>
      <c r="U95" s="325">
        <v>0</v>
      </c>
      <c r="V95" s="492">
        <f>P95+Q95+R95+S95+T95+U95</f>
        <v>0</v>
      </c>
      <c r="W95" s="325">
        <v>0</v>
      </c>
      <c r="X95" s="325">
        <v>0</v>
      </c>
      <c r="Y95" s="325">
        <v>0</v>
      </c>
      <c r="Z95" s="492">
        <f>W95+X95+Y95</f>
        <v>0</v>
      </c>
      <c r="AA95" s="492">
        <f>V95+Z95</f>
        <v>0</v>
      </c>
      <c r="AB95" s="494">
        <f>ROUND((V95+Z95)*33.8%,0)</f>
        <v>0</v>
      </c>
      <c r="AC95" s="494">
        <f>ROUND(V95*1%,0)</f>
        <v>0</v>
      </c>
      <c r="AD95" s="492">
        <v>0</v>
      </c>
      <c r="AE95" s="753">
        <f t="shared" si="62"/>
        <v>0</v>
      </c>
      <c r="AF95" s="688">
        <v>0</v>
      </c>
      <c r="AG95" s="871">
        <v>0</v>
      </c>
      <c r="AH95" s="326">
        <v>0</v>
      </c>
      <c r="AI95" s="326">
        <v>0</v>
      </c>
      <c r="AJ95" s="326">
        <v>0</v>
      </c>
      <c r="AK95" s="326">
        <v>0</v>
      </c>
      <c r="AL95" s="609">
        <f>SUM(AF95:AK95)</f>
        <v>0</v>
      </c>
      <c r="AM95" s="676">
        <f>I95+AE95</f>
        <v>648750</v>
      </c>
      <c r="AN95" s="492">
        <f>J95+V95</f>
        <v>481268</v>
      </c>
      <c r="AO95" s="573">
        <f>K95+Z95</f>
        <v>0</v>
      </c>
      <c r="AP95" s="492">
        <f t="shared" si="63"/>
        <v>162669</v>
      </c>
      <c r="AQ95" s="492">
        <f t="shared" si="63"/>
        <v>4813</v>
      </c>
      <c r="AR95" s="492">
        <f t="shared" si="63"/>
        <v>0</v>
      </c>
      <c r="AS95" s="609">
        <f>O95+AL95</f>
        <v>0.85709999999999997</v>
      </c>
    </row>
    <row r="96" spans="1:45" ht="12.75" customHeight="1" thickBot="1" x14ac:dyDescent="0.3">
      <c r="A96" s="225">
        <v>21</v>
      </c>
      <c r="B96" s="226">
        <v>4463</v>
      </c>
      <c r="C96" s="226">
        <v>600074684</v>
      </c>
      <c r="D96" s="226">
        <v>71010467</v>
      </c>
      <c r="E96" s="219" t="s">
        <v>335</v>
      </c>
      <c r="F96" s="220"/>
      <c r="G96" s="221"/>
      <c r="H96" s="221"/>
      <c r="I96" s="784">
        <v>3626279</v>
      </c>
      <c r="J96" s="594">
        <v>2690118</v>
      </c>
      <c r="K96" s="594">
        <v>0</v>
      </c>
      <c r="L96" s="594">
        <v>909260</v>
      </c>
      <c r="M96" s="594">
        <v>26901</v>
      </c>
      <c r="N96" s="376">
        <v>0</v>
      </c>
      <c r="O96" s="785">
        <v>3.9935</v>
      </c>
      <c r="P96" s="671">
        <f t="shared" ref="P96:AS96" si="64">SUM(P93:P95)</f>
        <v>0</v>
      </c>
      <c r="Q96" s="376">
        <f t="shared" si="64"/>
        <v>0</v>
      </c>
      <c r="R96" s="376">
        <f t="shared" si="64"/>
        <v>0</v>
      </c>
      <c r="S96" s="376">
        <f t="shared" si="64"/>
        <v>0</v>
      </c>
      <c r="T96" s="376">
        <f t="shared" si="64"/>
        <v>0</v>
      </c>
      <c r="U96" s="376">
        <f t="shared" si="64"/>
        <v>0</v>
      </c>
      <c r="V96" s="376">
        <f t="shared" si="64"/>
        <v>0</v>
      </c>
      <c r="W96" s="376">
        <f t="shared" si="64"/>
        <v>0</v>
      </c>
      <c r="X96" s="376">
        <f t="shared" si="64"/>
        <v>0</v>
      </c>
      <c r="Y96" s="376">
        <f t="shared" si="64"/>
        <v>0</v>
      </c>
      <c r="Z96" s="376">
        <f t="shared" si="64"/>
        <v>0</v>
      </c>
      <c r="AA96" s="376">
        <f t="shared" si="64"/>
        <v>0</v>
      </c>
      <c r="AB96" s="376">
        <f t="shared" si="64"/>
        <v>0</v>
      </c>
      <c r="AC96" s="376">
        <f t="shared" si="64"/>
        <v>0</v>
      </c>
      <c r="AD96" s="376">
        <f t="shared" si="64"/>
        <v>0</v>
      </c>
      <c r="AE96" s="790">
        <f t="shared" si="64"/>
        <v>0</v>
      </c>
      <c r="AF96" s="795">
        <v>0</v>
      </c>
      <c r="AG96" s="873">
        <f t="shared" si="64"/>
        <v>0</v>
      </c>
      <c r="AH96" s="377">
        <f t="shared" si="64"/>
        <v>0</v>
      </c>
      <c r="AI96" s="377">
        <f t="shared" si="64"/>
        <v>0</v>
      </c>
      <c r="AJ96" s="377">
        <f t="shared" si="64"/>
        <v>0</v>
      </c>
      <c r="AK96" s="377">
        <f t="shared" si="64"/>
        <v>0</v>
      </c>
      <c r="AL96" s="383">
        <f t="shared" si="64"/>
        <v>0</v>
      </c>
      <c r="AM96" s="671">
        <f t="shared" si="64"/>
        <v>3626279</v>
      </c>
      <c r="AN96" s="376">
        <f t="shared" si="64"/>
        <v>2690118</v>
      </c>
      <c r="AO96" s="376">
        <f t="shared" si="64"/>
        <v>0</v>
      </c>
      <c r="AP96" s="376">
        <f t="shared" si="64"/>
        <v>909260</v>
      </c>
      <c r="AQ96" s="376">
        <f t="shared" si="64"/>
        <v>26901</v>
      </c>
      <c r="AR96" s="376">
        <f t="shared" si="64"/>
        <v>0</v>
      </c>
      <c r="AS96" s="383">
        <f t="shared" si="64"/>
        <v>3.9935</v>
      </c>
    </row>
    <row r="97" spans="1:45" ht="12.75" customHeight="1" thickBot="1" x14ac:dyDescent="0.3">
      <c r="A97" s="227"/>
      <c r="B97" s="228"/>
      <c r="C97" s="229"/>
      <c r="D97" s="228"/>
      <c r="E97" s="230" t="s">
        <v>732</v>
      </c>
      <c r="F97" s="229"/>
      <c r="G97" s="231"/>
      <c r="H97" s="232"/>
      <c r="I97" s="595">
        <f t="shared" ref="I97:AS97" si="65">I96+I92+I89+I84+I79+I74+I69+I64+I59+I54+I49+I47+I42+I39+I37+I35+I30+I25+I21+I17+I13</f>
        <v>316938822</v>
      </c>
      <c r="J97" s="596">
        <f t="shared" si="65"/>
        <v>233957292</v>
      </c>
      <c r="K97" s="596">
        <f t="shared" si="65"/>
        <v>1169203</v>
      </c>
      <c r="L97" s="596">
        <f t="shared" si="65"/>
        <v>79472754</v>
      </c>
      <c r="M97" s="596">
        <f t="shared" si="65"/>
        <v>2339573</v>
      </c>
      <c r="N97" s="406">
        <f t="shared" si="65"/>
        <v>0</v>
      </c>
      <c r="O97" s="708">
        <f t="shared" si="65"/>
        <v>374.03310000000005</v>
      </c>
      <c r="P97" s="406">
        <f t="shared" si="65"/>
        <v>-445680</v>
      </c>
      <c r="Q97" s="406">
        <f>Q96+Q92+Q89+Q84+Q79+Q74+Q69+Q64+Q59+Q54+Q49+Q47+Q42+Q39+Q37+Q35+Q30+Q25+Q21+Q17+Q13</f>
        <v>938845</v>
      </c>
      <c r="R97" s="406">
        <f t="shared" si="65"/>
        <v>0</v>
      </c>
      <c r="S97" s="436">
        <f t="shared" si="65"/>
        <v>385585</v>
      </c>
      <c r="T97" s="406">
        <f t="shared" si="65"/>
        <v>0</v>
      </c>
      <c r="U97" s="406">
        <f t="shared" si="65"/>
        <v>0</v>
      </c>
      <c r="V97" s="406">
        <f t="shared" si="65"/>
        <v>878750</v>
      </c>
      <c r="W97" s="406">
        <f t="shared" si="65"/>
        <v>445680</v>
      </c>
      <c r="X97" s="406">
        <f t="shared" si="65"/>
        <v>0</v>
      </c>
      <c r="Y97" s="406">
        <f t="shared" si="65"/>
        <v>138450</v>
      </c>
      <c r="Z97" s="406">
        <f t="shared" si="65"/>
        <v>584130</v>
      </c>
      <c r="AA97" s="406">
        <f t="shared" si="65"/>
        <v>1462880</v>
      </c>
      <c r="AB97" s="406">
        <f t="shared" si="65"/>
        <v>494454</v>
      </c>
      <c r="AC97" s="406">
        <f t="shared" si="65"/>
        <v>8787</v>
      </c>
      <c r="AD97" s="406">
        <f t="shared" si="65"/>
        <v>0</v>
      </c>
      <c r="AE97" s="791">
        <f t="shared" si="65"/>
        <v>1966121</v>
      </c>
      <c r="AF97" s="796">
        <f t="shared" si="65"/>
        <v>-0.33</v>
      </c>
      <c r="AG97" s="411">
        <f t="shared" si="65"/>
        <v>2.3600000000000003</v>
      </c>
      <c r="AH97" s="411">
        <f t="shared" si="65"/>
        <v>0.7</v>
      </c>
      <c r="AI97" s="411">
        <f t="shared" si="65"/>
        <v>0</v>
      </c>
      <c r="AJ97" s="411">
        <f t="shared" si="65"/>
        <v>0</v>
      </c>
      <c r="AK97" s="411">
        <f t="shared" si="65"/>
        <v>0</v>
      </c>
      <c r="AL97" s="797">
        <f t="shared" si="65"/>
        <v>2.7300000000000004</v>
      </c>
      <c r="AM97" s="416">
        <f>AM96+AM92+AM89+AM84+AM79+AM74+AM69+AM64+AM59+AM54+AM49+AM47+AM42+AM39+AM37+AM35+AM30+AM25+AM21+AM17+AM13</f>
        <v>318904943</v>
      </c>
      <c r="AN97" s="406">
        <f t="shared" si="65"/>
        <v>234836042</v>
      </c>
      <c r="AO97" s="406">
        <f t="shared" si="65"/>
        <v>1753333</v>
      </c>
      <c r="AP97" s="406">
        <f t="shared" si="65"/>
        <v>79967208</v>
      </c>
      <c r="AQ97" s="406">
        <f t="shared" si="65"/>
        <v>2348360</v>
      </c>
      <c r="AR97" s="406">
        <f t="shared" si="65"/>
        <v>0</v>
      </c>
      <c r="AS97" s="797">
        <f t="shared" si="65"/>
        <v>376.76310000000001</v>
      </c>
    </row>
    <row r="98" spans="1:45" ht="12.95" customHeight="1" x14ac:dyDescent="0.25">
      <c r="B98" s="234"/>
      <c r="D98" s="234"/>
      <c r="E98" s="235"/>
      <c r="I98" s="328">
        <f>SUM(J97:N97)</f>
        <v>316938822</v>
      </c>
      <c r="J98" s="328"/>
      <c r="K98" s="328"/>
      <c r="L98" s="328"/>
      <c r="M98" s="328"/>
      <c r="N98" s="328"/>
      <c r="O98" s="709"/>
      <c r="P98" s="328">
        <f>W97</f>
        <v>445680</v>
      </c>
      <c r="Q98" s="329"/>
      <c r="R98" s="329"/>
      <c r="S98" s="329"/>
      <c r="T98" s="328"/>
      <c r="U98" s="329"/>
      <c r="V98" s="330">
        <f>SUM(P97:U97)</f>
        <v>878750</v>
      </c>
      <c r="W98" s="330">
        <f>P97</f>
        <v>-445680</v>
      </c>
      <c r="X98" s="331"/>
      <c r="Y98" s="331"/>
      <c r="Z98" s="330">
        <f>SUM(W97:Y97)</f>
        <v>584130</v>
      </c>
      <c r="AA98" s="330">
        <f>V97+Z97</f>
        <v>1462880</v>
      </c>
      <c r="AB98" s="332"/>
      <c r="AC98" s="332"/>
      <c r="AD98" s="330"/>
      <c r="AE98" s="330">
        <f>SUM(AA97:AD97)</f>
        <v>1966121</v>
      </c>
      <c r="AF98" s="333"/>
      <c r="AG98" s="333"/>
      <c r="AH98" s="333"/>
      <c r="AI98" s="333"/>
      <c r="AJ98" s="381"/>
      <c r="AK98" s="333"/>
      <c r="AL98" s="381">
        <f>SUM(AF97:AK97)</f>
        <v>2.7300000000000004</v>
      </c>
      <c r="AM98" s="328">
        <f>SUM(AN97:AR97)</f>
        <v>318904943</v>
      </c>
      <c r="AN98" s="328"/>
      <c r="AO98" s="58"/>
      <c r="AP98" s="330"/>
      <c r="AQ98" s="330"/>
      <c r="AR98" s="330"/>
      <c r="AS98" s="329"/>
    </row>
    <row r="99" spans="1:45" ht="12.95" customHeight="1" thickBot="1" x14ac:dyDescent="0.3">
      <c r="B99" s="234"/>
      <c r="D99" s="234"/>
      <c r="E99" s="175"/>
      <c r="I99" s="328">
        <f>SUM(J100:N100)</f>
        <v>316938822</v>
      </c>
      <c r="J99" s="328"/>
      <c r="K99" s="328"/>
      <c r="L99" s="328"/>
      <c r="M99" s="328"/>
      <c r="N99" s="328"/>
      <c r="O99" s="709"/>
      <c r="P99" s="328">
        <f>W100</f>
        <v>445680</v>
      </c>
      <c r="Q99" s="329"/>
      <c r="R99" s="329"/>
      <c r="S99" s="329"/>
      <c r="T99" s="328"/>
      <c r="U99" s="329"/>
      <c r="V99" s="330">
        <f>SUM(P100:U100)</f>
        <v>878750</v>
      </c>
      <c r="W99" s="330"/>
      <c r="X99" s="331"/>
      <c r="Y99" s="331"/>
      <c r="Z99" s="330">
        <f>SUM(W100:Y100)</f>
        <v>584130</v>
      </c>
      <c r="AA99" s="330">
        <f>V100+Z100</f>
        <v>1462880</v>
      </c>
      <c r="AB99" s="332"/>
      <c r="AC99" s="332"/>
      <c r="AD99" s="330"/>
      <c r="AE99" s="330">
        <f>SUM(AA100:AD100)</f>
        <v>1966121</v>
      </c>
      <c r="AF99" s="333"/>
      <c r="AG99" s="333"/>
      <c r="AH99" s="333"/>
      <c r="AI99" s="333"/>
      <c r="AJ99" s="381"/>
      <c r="AK99" s="333"/>
      <c r="AL99" s="381">
        <f>SUM(AF100:AK100)</f>
        <v>2.7300000000000004</v>
      </c>
      <c r="AM99" s="328">
        <f>AN100+AO100+AP100+AQ100</f>
        <v>318904943</v>
      </c>
      <c r="AN99" s="328"/>
      <c r="AO99" s="58"/>
      <c r="AP99" s="48"/>
      <c r="AQ99" s="48"/>
      <c r="AR99" s="48"/>
      <c r="AS99" s="329"/>
    </row>
    <row r="100" spans="1:45" s="60" customFormat="1" ht="12.95" customHeight="1" thickBot="1" x14ac:dyDescent="0.3">
      <c r="D100" s="236"/>
      <c r="E100" s="237"/>
      <c r="F100" s="236"/>
      <c r="G100" s="238"/>
      <c r="H100" s="360" t="s">
        <v>0</v>
      </c>
      <c r="I100" s="96">
        <f t="shared" ref="I100:AS100" si="66">SUM(I101:I110)</f>
        <v>316938822</v>
      </c>
      <c r="J100" s="31">
        <f t="shared" si="66"/>
        <v>233957292</v>
      </c>
      <c r="K100" s="31">
        <f t="shared" si="66"/>
        <v>1169203</v>
      </c>
      <c r="L100" s="31">
        <f t="shared" si="66"/>
        <v>79472754</v>
      </c>
      <c r="M100" s="31">
        <f t="shared" si="66"/>
        <v>2339573</v>
      </c>
      <c r="N100" s="31">
        <f t="shared" si="66"/>
        <v>0</v>
      </c>
      <c r="O100" s="673">
        <f t="shared" si="66"/>
        <v>374.03309999999999</v>
      </c>
      <c r="P100" s="101">
        <f t="shared" si="66"/>
        <v>-445680</v>
      </c>
      <c r="Q100" s="31">
        <f t="shared" si="66"/>
        <v>938845</v>
      </c>
      <c r="R100" s="31">
        <f t="shared" si="66"/>
        <v>0</v>
      </c>
      <c r="S100" s="31">
        <f t="shared" si="66"/>
        <v>385585</v>
      </c>
      <c r="T100" s="31">
        <f t="shared" si="66"/>
        <v>0</v>
      </c>
      <c r="U100" s="31">
        <f t="shared" si="66"/>
        <v>0</v>
      </c>
      <c r="V100" s="31">
        <f t="shared" si="66"/>
        <v>878750</v>
      </c>
      <c r="W100" s="31">
        <f t="shared" si="66"/>
        <v>445680</v>
      </c>
      <c r="X100" s="31">
        <f t="shared" si="66"/>
        <v>0</v>
      </c>
      <c r="Y100" s="31">
        <f t="shared" si="66"/>
        <v>138450</v>
      </c>
      <c r="Z100" s="31">
        <f t="shared" si="66"/>
        <v>584130</v>
      </c>
      <c r="AA100" s="31">
        <f t="shared" si="66"/>
        <v>1462880</v>
      </c>
      <c r="AB100" s="31">
        <f t="shared" si="66"/>
        <v>494454</v>
      </c>
      <c r="AC100" s="31">
        <f t="shared" si="66"/>
        <v>8787</v>
      </c>
      <c r="AD100" s="31">
        <f t="shared" si="66"/>
        <v>0</v>
      </c>
      <c r="AE100" s="624">
        <f t="shared" si="66"/>
        <v>1966121</v>
      </c>
      <c r="AF100" s="628">
        <f t="shared" si="66"/>
        <v>-0.33</v>
      </c>
      <c r="AG100" s="32">
        <f t="shared" si="66"/>
        <v>2.3600000000000003</v>
      </c>
      <c r="AH100" s="32">
        <f t="shared" si="66"/>
        <v>0.7</v>
      </c>
      <c r="AI100" s="32">
        <f t="shared" si="66"/>
        <v>0</v>
      </c>
      <c r="AJ100" s="32">
        <f t="shared" si="66"/>
        <v>0</v>
      </c>
      <c r="AK100" s="32">
        <f t="shared" si="66"/>
        <v>0</v>
      </c>
      <c r="AL100" s="629">
        <f t="shared" si="66"/>
        <v>2.73</v>
      </c>
      <c r="AM100" s="96">
        <f t="shared" si="66"/>
        <v>318904943</v>
      </c>
      <c r="AN100" s="31">
        <f t="shared" si="66"/>
        <v>234836042</v>
      </c>
      <c r="AO100" s="31">
        <f t="shared" si="66"/>
        <v>1753333</v>
      </c>
      <c r="AP100" s="31">
        <f t="shared" si="66"/>
        <v>79967208</v>
      </c>
      <c r="AQ100" s="31">
        <f t="shared" si="66"/>
        <v>2348360</v>
      </c>
      <c r="AR100" s="31">
        <f t="shared" si="66"/>
        <v>0</v>
      </c>
      <c r="AS100" s="629">
        <f t="shared" si="66"/>
        <v>376.76309999999995</v>
      </c>
    </row>
    <row r="101" spans="1:45" s="60" customFormat="1" ht="12.95" customHeight="1" x14ac:dyDescent="0.25">
      <c r="D101" s="236"/>
      <c r="E101" s="237"/>
      <c r="F101" s="236"/>
      <c r="G101" s="238"/>
      <c r="H101" s="359">
        <v>3111</v>
      </c>
      <c r="I101" s="370">
        <f t="shared" ref="I101:AS101" si="67">SUMIF($F$12:$F$420,"=3111",I$12:I$420)</f>
        <v>66123701</v>
      </c>
      <c r="J101" s="371">
        <f t="shared" si="67"/>
        <v>48986967</v>
      </c>
      <c r="K101" s="371">
        <f t="shared" si="67"/>
        <v>66720</v>
      </c>
      <c r="L101" s="371">
        <f t="shared" si="67"/>
        <v>16580145</v>
      </c>
      <c r="M101" s="371">
        <f t="shared" si="67"/>
        <v>489869</v>
      </c>
      <c r="N101" s="371">
        <f t="shared" si="67"/>
        <v>0</v>
      </c>
      <c r="O101" s="786">
        <f t="shared" si="67"/>
        <v>85.932000000000016</v>
      </c>
      <c r="P101" s="372">
        <f t="shared" si="67"/>
        <v>-44480</v>
      </c>
      <c r="Q101" s="371">
        <f t="shared" si="67"/>
        <v>0</v>
      </c>
      <c r="R101" s="371">
        <f t="shared" si="67"/>
        <v>0</v>
      </c>
      <c r="S101" s="371">
        <f t="shared" si="67"/>
        <v>0</v>
      </c>
      <c r="T101" s="371">
        <f t="shared" si="67"/>
        <v>0</v>
      </c>
      <c r="U101" s="371">
        <f t="shared" si="67"/>
        <v>0</v>
      </c>
      <c r="V101" s="371">
        <f t="shared" si="67"/>
        <v>-44480</v>
      </c>
      <c r="W101" s="371">
        <f t="shared" si="67"/>
        <v>44480</v>
      </c>
      <c r="X101" s="371">
        <f t="shared" si="67"/>
        <v>0</v>
      </c>
      <c r="Y101" s="371">
        <f t="shared" si="67"/>
        <v>0</v>
      </c>
      <c r="Z101" s="371">
        <f t="shared" si="67"/>
        <v>44480</v>
      </c>
      <c r="AA101" s="371">
        <f t="shared" si="67"/>
        <v>0</v>
      </c>
      <c r="AB101" s="371">
        <f t="shared" si="67"/>
        <v>0</v>
      </c>
      <c r="AC101" s="371">
        <f t="shared" si="67"/>
        <v>-445</v>
      </c>
      <c r="AD101" s="371">
        <f t="shared" si="67"/>
        <v>0</v>
      </c>
      <c r="AE101" s="625">
        <f t="shared" si="67"/>
        <v>-445</v>
      </c>
      <c r="AF101" s="630">
        <f t="shared" si="67"/>
        <v>-0.03</v>
      </c>
      <c r="AG101" s="373">
        <f t="shared" si="67"/>
        <v>0</v>
      </c>
      <c r="AH101" s="373">
        <f t="shared" si="67"/>
        <v>0</v>
      </c>
      <c r="AI101" s="373">
        <f t="shared" si="67"/>
        <v>0</v>
      </c>
      <c r="AJ101" s="373">
        <f t="shared" si="67"/>
        <v>0</v>
      </c>
      <c r="AK101" s="373">
        <f t="shared" si="67"/>
        <v>0</v>
      </c>
      <c r="AL101" s="631">
        <f t="shared" si="67"/>
        <v>-0.03</v>
      </c>
      <c r="AM101" s="370">
        <f t="shared" si="67"/>
        <v>66123256</v>
      </c>
      <c r="AN101" s="371">
        <f t="shared" si="67"/>
        <v>48942487</v>
      </c>
      <c r="AO101" s="371">
        <f t="shared" si="67"/>
        <v>111200</v>
      </c>
      <c r="AP101" s="371">
        <f t="shared" si="67"/>
        <v>16580145</v>
      </c>
      <c r="AQ101" s="371">
        <f t="shared" si="67"/>
        <v>489424</v>
      </c>
      <c r="AR101" s="371">
        <f t="shared" si="67"/>
        <v>0</v>
      </c>
      <c r="AS101" s="631">
        <f t="shared" si="67"/>
        <v>85.902000000000015</v>
      </c>
    </row>
    <row r="102" spans="1:45" s="60" customFormat="1" ht="12.95" customHeight="1" x14ac:dyDescent="0.25">
      <c r="D102" s="236"/>
      <c r="E102" s="237"/>
      <c r="F102" s="236"/>
      <c r="G102" s="238"/>
      <c r="H102" s="16">
        <v>3113</v>
      </c>
      <c r="I102" s="119">
        <f t="shared" ref="I102:AS102" si="68">SUMIF($F$12:$F$420,"=3113",I$12:I$420)</f>
        <v>164187524</v>
      </c>
      <c r="J102" s="14">
        <f t="shared" si="68"/>
        <v>120984651</v>
      </c>
      <c r="K102" s="14">
        <f t="shared" si="68"/>
        <v>822283</v>
      </c>
      <c r="L102" s="14">
        <f t="shared" si="68"/>
        <v>41170743</v>
      </c>
      <c r="M102" s="14">
        <f t="shared" si="68"/>
        <v>1209847</v>
      </c>
      <c r="N102" s="14">
        <f t="shared" si="68"/>
        <v>0</v>
      </c>
      <c r="O102" s="787">
        <f t="shared" si="68"/>
        <v>181.6412</v>
      </c>
      <c r="P102" s="120">
        <f t="shared" si="68"/>
        <v>-214400</v>
      </c>
      <c r="Q102" s="14">
        <f t="shared" si="68"/>
        <v>562204</v>
      </c>
      <c r="R102" s="14">
        <f t="shared" si="68"/>
        <v>0</v>
      </c>
      <c r="S102" s="14">
        <f t="shared" si="68"/>
        <v>385585</v>
      </c>
      <c r="T102" s="14">
        <f t="shared" si="68"/>
        <v>0</v>
      </c>
      <c r="U102" s="14">
        <f t="shared" si="68"/>
        <v>0</v>
      </c>
      <c r="V102" s="14">
        <f t="shared" si="68"/>
        <v>733389</v>
      </c>
      <c r="W102" s="14">
        <f t="shared" si="68"/>
        <v>214400</v>
      </c>
      <c r="X102" s="14">
        <f t="shared" si="68"/>
        <v>0</v>
      </c>
      <c r="Y102" s="14">
        <f t="shared" si="68"/>
        <v>138450</v>
      </c>
      <c r="Z102" s="14">
        <f t="shared" si="68"/>
        <v>352850</v>
      </c>
      <c r="AA102" s="14">
        <f t="shared" si="68"/>
        <v>1086239</v>
      </c>
      <c r="AB102" s="14">
        <f t="shared" si="68"/>
        <v>367150</v>
      </c>
      <c r="AC102" s="14">
        <f t="shared" si="68"/>
        <v>7333</v>
      </c>
      <c r="AD102" s="14">
        <f t="shared" si="68"/>
        <v>0</v>
      </c>
      <c r="AE102" s="626">
        <f t="shared" si="68"/>
        <v>1460722</v>
      </c>
      <c r="AF102" s="632">
        <f t="shared" si="68"/>
        <v>-0.26</v>
      </c>
      <c r="AG102" s="11">
        <f t="shared" si="68"/>
        <v>1.4100000000000001</v>
      </c>
      <c r="AH102" s="11">
        <f t="shared" si="68"/>
        <v>0.7</v>
      </c>
      <c r="AI102" s="11">
        <f t="shared" si="68"/>
        <v>0</v>
      </c>
      <c r="AJ102" s="11">
        <f t="shared" si="68"/>
        <v>0</v>
      </c>
      <c r="AK102" s="11">
        <f t="shared" si="68"/>
        <v>0</v>
      </c>
      <c r="AL102" s="633">
        <f t="shared" si="68"/>
        <v>1.85</v>
      </c>
      <c r="AM102" s="119">
        <f t="shared" si="68"/>
        <v>165648246</v>
      </c>
      <c r="AN102" s="14">
        <f t="shared" si="68"/>
        <v>121718040</v>
      </c>
      <c r="AO102" s="14">
        <f t="shared" si="68"/>
        <v>1175133</v>
      </c>
      <c r="AP102" s="14">
        <f t="shared" si="68"/>
        <v>41537893</v>
      </c>
      <c r="AQ102" s="14">
        <f t="shared" si="68"/>
        <v>1217180</v>
      </c>
      <c r="AR102" s="14">
        <f t="shared" si="68"/>
        <v>0</v>
      </c>
      <c r="AS102" s="633">
        <f t="shared" si="68"/>
        <v>183.49119999999999</v>
      </c>
    </row>
    <row r="103" spans="1:45" s="60" customFormat="1" ht="12.95" customHeight="1" x14ac:dyDescent="0.25">
      <c r="D103" s="236"/>
      <c r="E103" s="237"/>
      <c r="F103" s="236"/>
      <c r="G103" s="238"/>
      <c r="H103" s="16">
        <v>3114</v>
      </c>
      <c r="I103" s="119">
        <f t="shared" ref="I103:AS103" si="69">SUMIF($F$12:$F$420,"=3114",I$12:I$420)</f>
        <v>9021824</v>
      </c>
      <c r="J103" s="14">
        <f t="shared" si="69"/>
        <v>6662970</v>
      </c>
      <c r="K103" s="14">
        <f t="shared" si="69"/>
        <v>30000</v>
      </c>
      <c r="L103" s="14">
        <f t="shared" si="69"/>
        <v>2262224</v>
      </c>
      <c r="M103" s="14">
        <f t="shared" si="69"/>
        <v>66630</v>
      </c>
      <c r="N103" s="14">
        <f t="shared" si="69"/>
        <v>0</v>
      </c>
      <c r="O103" s="787">
        <f t="shared" si="69"/>
        <v>9.383700000000001</v>
      </c>
      <c r="P103" s="120">
        <f t="shared" si="69"/>
        <v>-20000</v>
      </c>
      <c r="Q103" s="14">
        <f t="shared" si="69"/>
        <v>0</v>
      </c>
      <c r="R103" s="14">
        <f t="shared" si="69"/>
        <v>0</v>
      </c>
      <c r="S103" s="14">
        <f t="shared" si="69"/>
        <v>0</v>
      </c>
      <c r="T103" s="14">
        <f t="shared" si="69"/>
        <v>0</v>
      </c>
      <c r="U103" s="14">
        <f t="shared" si="69"/>
        <v>0</v>
      </c>
      <c r="V103" s="14">
        <f t="shared" si="69"/>
        <v>-20000</v>
      </c>
      <c r="W103" s="14">
        <f t="shared" si="69"/>
        <v>20000</v>
      </c>
      <c r="X103" s="14">
        <f t="shared" si="69"/>
        <v>0</v>
      </c>
      <c r="Y103" s="14">
        <f t="shared" si="69"/>
        <v>0</v>
      </c>
      <c r="Z103" s="14">
        <f t="shared" si="69"/>
        <v>20000</v>
      </c>
      <c r="AA103" s="14">
        <f t="shared" si="69"/>
        <v>0</v>
      </c>
      <c r="AB103" s="14">
        <f t="shared" si="69"/>
        <v>0</v>
      </c>
      <c r="AC103" s="14">
        <f t="shared" si="69"/>
        <v>-200</v>
      </c>
      <c r="AD103" s="14">
        <f t="shared" si="69"/>
        <v>0</v>
      </c>
      <c r="AE103" s="626">
        <f t="shared" si="69"/>
        <v>-200</v>
      </c>
      <c r="AF103" s="632">
        <f t="shared" si="69"/>
        <v>0</v>
      </c>
      <c r="AG103" s="11">
        <f t="shared" si="69"/>
        <v>0</v>
      </c>
      <c r="AH103" s="11">
        <f t="shared" si="69"/>
        <v>0</v>
      </c>
      <c r="AI103" s="11">
        <f t="shared" si="69"/>
        <v>0</v>
      </c>
      <c r="AJ103" s="11">
        <f t="shared" si="69"/>
        <v>0</v>
      </c>
      <c r="AK103" s="11">
        <f t="shared" si="69"/>
        <v>0</v>
      </c>
      <c r="AL103" s="633">
        <f t="shared" si="69"/>
        <v>0</v>
      </c>
      <c r="AM103" s="119">
        <f t="shared" si="69"/>
        <v>9021624</v>
      </c>
      <c r="AN103" s="14">
        <f t="shared" si="69"/>
        <v>6642970</v>
      </c>
      <c r="AO103" s="14">
        <f t="shared" si="69"/>
        <v>50000</v>
      </c>
      <c r="AP103" s="14">
        <f t="shared" si="69"/>
        <v>2262224</v>
      </c>
      <c r="AQ103" s="14">
        <f t="shared" si="69"/>
        <v>66430</v>
      </c>
      <c r="AR103" s="14">
        <f t="shared" si="69"/>
        <v>0</v>
      </c>
      <c r="AS103" s="633">
        <f t="shared" si="69"/>
        <v>9.383700000000001</v>
      </c>
    </row>
    <row r="104" spans="1:45" s="60" customFormat="1" ht="12.95" customHeight="1" x14ac:dyDescent="0.25">
      <c r="D104" s="236"/>
      <c r="E104" s="237"/>
      <c r="F104" s="236"/>
      <c r="G104" s="238"/>
      <c r="H104" s="16">
        <v>3117</v>
      </c>
      <c r="I104" s="119">
        <f t="shared" ref="I104:AS104" si="70">SUMIF($F$12:$F$420,"=3117",I$12:I$420)</f>
        <v>31906994</v>
      </c>
      <c r="J104" s="14">
        <f t="shared" si="70"/>
        <v>23588288</v>
      </c>
      <c r="K104" s="14">
        <f t="shared" si="70"/>
        <v>82200</v>
      </c>
      <c r="L104" s="14">
        <f t="shared" si="70"/>
        <v>8000624</v>
      </c>
      <c r="M104" s="14">
        <f t="shared" si="70"/>
        <v>235882</v>
      </c>
      <c r="N104" s="14">
        <f t="shared" si="70"/>
        <v>0</v>
      </c>
      <c r="O104" s="787">
        <f t="shared" si="70"/>
        <v>39.388400000000004</v>
      </c>
      <c r="P104" s="120">
        <f t="shared" si="70"/>
        <v>-54800</v>
      </c>
      <c r="Q104" s="14">
        <f t="shared" si="70"/>
        <v>376641</v>
      </c>
      <c r="R104" s="14">
        <f t="shared" si="70"/>
        <v>0</v>
      </c>
      <c r="S104" s="14">
        <f t="shared" si="70"/>
        <v>0</v>
      </c>
      <c r="T104" s="14">
        <f t="shared" si="70"/>
        <v>0</v>
      </c>
      <c r="U104" s="14">
        <f t="shared" si="70"/>
        <v>0</v>
      </c>
      <c r="V104" s="14">
        <f t="shared" si="70"/>
        <v>321841</v>
      </c>
      <c r="W104" s="14">
        <f t="shared" si="70"/>
        <v>54800</v>
      </c>
      <c r="X104" s="14">
        <f t="shared" si="70"/>
        <v>0</v>
      </c>
      <c r="Y104" s="14">
        <f t="shared" si="70"/>
        <v>0</v>
      </c>
      <c r="Z104" s="14">
        <f t="shared" si="70"/>
        <v>54800</v>
      </c>
      <c r="AA104" s="14">
        <f t="shared" si="70"/>
        <v>376641</v>
      </c>
      <c r="AB104" s="14">
        <f t="shared" si="70"/>
        <v>127304</v>
      </c>
      <c r="AC104" s="14">
        <f t="shared" si="70"/>
        <v>3219</v>
      </c>
      <c r="AD104" s="14">
        <f t="shared" si="70"/>
        <v>0</v>
      </c>
      <c r="AE104" s="626">
        <f t="shared" si="70"/>
        <v>507164</v>
      </c>
      <c r="AF104" s="632">
        <f t="shared" si="70"/>
        <v>0</v>
      </c>
      <c r="AG104" s="11">
        <f t="shared" si="70"/>
        <v>0.95</v>
      </c>
      <c r="AH104" s="11">
        <f t="shared" si="70"/>
        <v>0</v>
      </c>
      <c r="AI104" s="11">
        <f t="shared" si="70"/>
        <v>0</v>
      </c>
      <c r="AJ104" s="11">
        <f t="shared" si="70"/>
        <v>0</v>
      </c>
      <c r="AK104" s="11">
        <f t="shared" si="70"/>
        <v>0</v>
      </c>
      <c r="AL104" s="633">
        <f t="shared" si="70"/>
        <v>0.95</v>
      </c>
      <c r="AM104" s="119">
        <f t="shared" si="70"/>
        <v>32414158</v>
      </c>
      <c r="AN104" s="14">
        <f t="shared" si="70"/>
        <v>23910129</v>
      </c>
      <c r="AO104" s="14">
        <f t="shared" si="70"/>
        <v>137000</v>
      </c>
      <c r="AP104" s="14">
        <f t="shared" si="70"/>
        <v>8127928</v>
      </c>
      <c r="AQ104" s="14">
        <f t="shared" si="70"/>
        <v>239101</v>
      </c>
      <c r="AR104" s="14">
        <f t="shared" si="70"/>
        <v>0</v>
      </c>
      <c r="AS104" s="633">
        <f t="shared" si="70"/>
        <v>40.338400000000007</v>
      </c>
    </row>
    <row r="105" spans="1:45" s="60" customFormat="1" ht="12.95" customHeight="1" x14ac:dyDescent="0.25">
      <c r="D105" s="236"/>
      <c r="E105" s="237"/>
      <c r="F105" s="236"/>
      <c r="G105" s="238"/>
      <c r="H105" s="16">
        <v>3122</v>
      </c>
      <c r="I105" s="119">
        <f t="shared" ref="I105:AS105" si="71">SUMIF($F$12:$F$420,"=3122",I$12:I$420)</f>
        <v>0</v>
      </c>
      <c r="J105" s="14">
        <f t="shared" si="71"/>
        <v>0</v>
      </c>
      <c r="K105" s="14">
        <f t="shared" si="71"/>
        <v>0</v>
      </c>
      <c r="L105" s="14">
        <f t="shared" si="71"/>
        <v>0</v>
      </c>
      <c r="M105" s="14">
        <f t="shared" si="71"/>
        <v>0</v>
      </c>
      <c r="N105" s="14">
        <f t="shared" si="71"/>
        <v>0</v>
      </c>
      <c r="O105" s="787">
        <f t="shared" si="71"/>
        <v>0</v>
      </c>
      <c r="P105" s="120">
        <f t="shared" si="71"/>
        <v>0</v>
      </c>
      <c r="Q105" s="14">
        <f t="shared" si="71"/>
        <v>0</v>
      </c>
      <c r="R105" s="14">
        <f t="shared" si="71"/>
        <v>0</v>
      </c>
      <c r="S105" s="14">
        <f t="shared" si="71"/>
        <v>0</v>
      </c>
      <c r="T105" s="14">
        <f t="shared" si="71"/>
        <v>0</v>
      </c>
      <c r="U105" s="14">
        <f t="shared" si="71"/>
        <v>0</v>
      </c>
      <c r="V105" s="14">
        <f t="shared" si="71"/>
        <v>0</v>
      </c>
      <c r="W105" s="14">
        <f t="shared" si="71"/>
        <v>0</v>
      </c>
      <c r="X105" s="14">
        <f t="shared" si="71"/>
        <v>0</v>
      </c>
      <c r="Y105" s="14">
        <f t="shared" si="71"/>
        <v>0</v>
      </c>
      <c r="Z105" s="14">
        <f t="shared" si="71"/>
        <v>0</v>
      </c>
      <c r="AA105" s="14">
        <f t="shared" si="71"/>
        <v>0</v>
      </c>
      <c r="AB105" s="14">
        <f t="shared" si="71"/>
        <v>0</v>
      </c>
      <c r="AC105" s="14">
        <f t="shared" si="71"/>
        <v>0</v>
      </c>
      <c r="AD105" s="14">
        <f t="shared" si="71"/>
        <v>0</v>
      </c>
      <c r="AE105" s="626">
        <f t="shared" si="71"/>
        <v>0</v>
      </c>
      <c r="AF105" s="632">
        <f t="shared" si="71"/>
        <v>0</v>
      </c>
      <c r="AG105" s="11">
        <f t="shared" si="71"/>
        <v>0</v>
      </c>
      <c r="AH105" s="11">
        <f t="shared" si="71"/>
        <v>0</v>
      </c>
      <c r="AI105" s="11">
        <f t="shared" si="71"/>
        <v>0</v>
      </c>
      <c r="AJ105" s="11">
        <f t="shared" si="71"/>
        <v>0</v>
      </c>
      <c r="AK105" s="11">
        <f t="shared" si="71"/>
        <v>0</v>
      </c>
      <c r="AL105" s="633">
        <f t="shared" si="71"/>
        <v>0</v>
      </c>
      <c r="AM105" s="119">
        <f t="shared" si="71"/>
        <v>0</v>
      </c>
      <c r="AN105" s="14">
        <f t="shared" si="71"/>
        <v>0</v>
      </c>
      <c r="AO105" s="14">
        <f t="shared" si="71"/>
        <v>0</v>
      </c>
      <c r="AP105" s="14">
        <f t="shared" si="71"/>
        <v>0</v>
      </c>
      <c r="AQ105" s="14">
        <f t="shared" si="71"/>
        <v>0</v>
      </c>
      <c r="AR105" s="14">
        <f t="shared" si="71"/>
        <v>0</v>
      </c>
      <c r="AS105" s="633">
        <f t="shared" si="71"/>
        <v>0</v>
      </c>
    </row>
    <row r="106" spans="1:45" s="60" customFormat="1" ht="12.95" customHeight="1" x14ac:dyDescent="0.25">
      <c r="D106" s="236"/>
      <c r="E106" s="237"/>
      <c r="F106" s="236"/>
      <c r="G106" s="238"/>
      <c r="H106" s="16">
        <v>3124</v>
      </c>
      <c r="I106" s="119">
        <f t="shared" ref="I106:AS106" si="72">SUMIF($F$12:$F$420,"=3124",I$12:I$420)</f>
        <v>0</v>
      </c>
      <c r="J106" s="14">
        <f t="shared" si="72"/>
        <v>0</v>
      </c>
      <c r="K106" s="14">
        <f t="shared" si="72"/>
        <v>0</v>
      </c>
      <c r="L106" s="14">
        <f t="shared" si="72"/>
        <v>0</v>
      </c>
      <c r="M106" s="14">
        <f t="shared" si="72"/>
        <v>0</v>
      </c>
      <c r="N106" s="14">
        <f t="shared" si="72"/>
        <v>0</v>
      </c>
      <c r="O106" s="787">
        <f t="shared" si="72"/>
        <v>0</v>
      </c>
      <c r="P106" s="120">
        <f t="shared" si="72"/>
        <v>0</v>
      </c>
      <c r="Q106" s="14">
        <f t="shared" si="72"/>
        <v>0</v>
      </c>
      <c r="R106" s="14">
        <f t="shared" si="72"/>
        <v>0</v>
      </c>
      <c r="S106" s="14">
        <f t="shared" si="72"/>
        <v>0</v>
      </c>
      <c r="T106" s="14">
        <f t="shared" si="72"/>
        <v>0</v>
      </c>
      <c r="U106" s="14">
        <f t="shared" si="72"/>
        <v>0</v>
      </c>
      <c r="V106" s="14">
        <f t="shared" si="72"/>
        <v>0</v>
      </c>
      <c r="W106" s="14">
        <f t="shared" si="72"/>
        <v>0</v>
      </c>
      <c r="X106" s="14">
        <f t="shared" si="72"/>
        <v>0</v>
      </c>
      <c r="Y106" s="14">
        <f t="shared" si="72"/>
        <v>0</v>
      </c>
      <c r="Z106" s="14">
        <f t="shared" si="72"/>
        <v>0</v>
      </c>
      <c r="AA106" s="14">
        <f t="shared" si="72"/>
        <v>0</v>
      </c>
      <c r="AB106" s="14">
        <f t="shared" si="72"/>
        <v>0</v>
      </c>
      <c r="AC106" s="14">
        <f t="shared" si="72"/>
        <v>0</v>
      </c>
      <c r="AD106" s="14">
        <f t="shared" si="72"/>
        <v>0</v>
      </c>
      <c r="AE106" s="626">
        <f t="shared" si="72"/>
        <v>0</v>
      </c>
      <c r="AF106" s="632">
        <f t="shared" si="72"/>
        <v>0</v>
      </c>
      <c r="AG106" s="11">
        <f t="shared" si="72"/>
        <v>0</v>
      </c>
      <c r="AH106" s="11">
        <f t="shared" si="72"/>
        <v>0</v>
      </c>
      <c r="AI106" s="11">
        <f t="shared" si="72"/>
        <v>0</v>
      </c>
      <c r="AJ106" s="11">
        <f t="shared" si="72"/>
        <v>0</v>
      </c>
      <c r="AK106" s="11">
        <f t="shared" si="72"/>
        <v>0</v>
      </c>
      <c r="AL106" s="633">
        <f t="shared" si="72"/>
        <v>0</v>
      </c>
      <c r="AM106" s="119">
        <f t="shared" si="72"/>
        <v>0</v>
      </c>
      <c r="AN106" s="14">
        <f t="shared" si="72"/>
        <v>0</v>
      </c>
      <c r="AO106" s="14">
        <f t="shared" si="72"/>
        <v>0</v>
      </c>
      <c r="AP106" s="14">
        <f t="shared" si="72"/>
        <v>0</v>
      </c>
      <c r="AQ106" s="14">
        <f t="shared" si="72"/>
        <v>0</v>
      </c>
      <c r="AR106" s="14">
        <f t="shared" si="72"/>
        <v>0</v>
      </c>
      <c r="AS106" s="633">
        <f t="shared" si="72"/>
        <v>0</v>
      </c>
    </row>
    <row r="107" spans="1:45" s="60" customFormat="1" ht="12.95" customHeight="1" x14ac:dyDescent="0.25">
      <c r="D107" s="236"/>
      <c r="E107" s="237"/>
      <c r="F107" s="236"/>
      <c r="G107" s="238"/>
      <c r="H107" s="16">
        <v>3141</v>
      </c>
      <c r="I107" s="119">
        <f t="shared" ref="I107:AS107" si="73">SUMIF($F$12:$F$420,"=3141",I$12:I$420)</f>
        <v>0</v>
      </c>
      <c r="J107" s="14">
        <f t="shared" si="73"/>
        <v>0</v>
      </c>
      <c r="K107" s="14">
        <f t="shared" si="73"/>
        <v>0</v>
      </c>
      <c r="L107" s="14">
        <f t="shared" si="73"/>
        <v>0</v>
      </c>
      <c r="M107" s="14">
        <f t="shared" si="73"/>
        <v>0</v>
      </c>
      <c r="N107" s="14">
        <f t="shared" si="73"/>
        <v>0</v>
      </c>
      <c r="O107" s="787">
        <f t="shared" si="73"/>
        <v>0</v>
      </c>
      <c r="P107" s="120">
        <f t="shared" si="73"/>
        <v>0</v>
      </c>
      <c r="Q107" s="14">
        <f t="shared" si="73"/>
        <v>0</v>
      </c>
      <c r="R107" s="14">
        <f t="shared" si="73"/>
        <v>0</v>
      </c>
      <c r="S107" s="14">
        <f t="shared" si="73"/>
        <v>0</v>
      </c>
      <c r="T107" s="14">
        <f t="shared" si="73"/>
        <v>0</v>
      </c>
      <c r="U107" s="14">
        <f t="shared" si="73"/>
        <v>0</v>
      </c>
      <c r="V107" s="14">
        <f t="shared" si="73"/>
        <v>0</v>
      </c>
      <c r="W107" s="14">
        <f t="shared" si="73"/>
        <v>0</v>
      </c>
      <c r="X107" s="14">
        <f t="shared" si="73"/>
        <v>0</v>
      </c>
      <c r="Y107" s="14">
        <f t="shared" si="73"/>
        <v>0</v>
      </c>
      <c r="Z107" s="14">
        <f t="shared" si="73"/>
        <v>0</v>
      </c>
      <c r="AA107" s="14">
        <f t="shared" si="73"/>
        <v>0</v>
      </c>
      <c r="AB107" s="14">
        <f t="shared" si="73"/>
        <v>0</v>
      </c>
      <c r="AC107" s="14">
        <f t="shared" si="73"/>
        <v>0</v>
      </c>
      <c r="AD107" s="14">
        <f t="shared" si="73"/>
        <v>0</v>
      </c>
      <c r="AE107" s="626">
        <f t="shared" si="73"/>
        <v>0</v>
      </c>
      <c r="AF107" s="632">
        <f t="shared" si="73"/>
        <v>0</v>
      </c>
      <c r="AG107" s="11">
        <f t="shared" si="73"/>
        <v>0</v>
      </c>
      <c r="AH107" s="11">
        <f t="shared" si="73"/>
        <v>0</v>
      </c>
      <c r="AI107" s="11">
        <f t="shared" si="73"/>
        <v>0</v>
      </c>
      <c r="AJ107" s="11">
        <f t="shared" si="73"/>
        <v>0</v>
      </c>
      <c r="AK107" s="11">
        <f t="shared" si="73"/>
        <v>0</v>
      </c>
      <c r="AL107" s="633">
        <f t="shared" si="73"/>
        <v>0</v>
      </c>
      <c r="AM107" s="119">
        <f t="shared" si="73"/>
        <v>0</v>
      </c>
      <c r="AN107" s="14">
        <f t="shared" si="73"/>
        <v>0</v>
      </c>
      <c r="AO107" s="14">
        <f t="shared" si="73"/>
        <v>0</v>
      </c>
      <c r="AP107" s="14">
        <f t="shared" si="73"/>
        <v>0</v>
      </c>
      <c r="AQ107" s="14">
        <f t="shared" si="73"/>
        <v>0</v>
      </c>
      <c r="AR107" s="14">
        <f t="shared" si="73"/>
        <v>0</v>
      </c>
      <c r="AS107" s="633">
        <f t="shared" si="73"/>
        <v>0</v>
      </c>
    </row>
    <row r="108" spans="1:45" s="60" customFormat="1" ht="12.95" customHeight="1" x14ac:dyDescent="0.25">
      <c r="D108" s="236"/>
      <c r="E108" s="237"/>
      <c r="F108" s="236"/>
      <c r="G108" s="238"/>
      <c r="H108" s="16">
        <v>3143</v>
      </c>
      <c r="I108" s="119">
        <f t="shared" ref="I108:AS108" si="74">SUMIF($F$12:$F$420,"=3143",I$12:I$420)</f>
        <v>21692978</v>
      </c>
      <c r="J108" s="14">
        <f t="shared" si="74"/>
        <v>15955736</v>
      </c>
      <c r="K108" s="14">
        <f t="shared" si="74"/>
        <v>138000</v>
      </c>
      <c r="L108" s="14">
        <f t="shared" si="74"/>
        <v>5439684</v>
      </c>
      <c r="M108" s="14">
        <f t="shared" si="74"/>
        <v>159558</v>
      </c>
      <c r="N108" s="14">
        <f t="shared" si="74"/>
        <v>0</v>
      </c>
      <c r="O108" s="787">
        <f t="shared" si="74"/>
        <v>30.051699999999997</v>
      </c>
      <c r="P108" s="120">
        <f t="shared" si="74"/>
        <v>-92000</v>
      </c>
      <c r="Q108" s="14">
        <f t="shared" si="74"/>
        <v>0</v>
      </c>
      <c r="R108" s="14">
        <f t="shared" si="74"/>
        <v>0</v>
      </c>
      <c r="S108" s="14">
        <f t="shared" si="74"/>
        <v>0</v>
      </c>
      <c r="T108" s="14">
        <f t="shared" si="74"/>
        <v>0</v>
      </c>
      <c r="U108" s="14">
        <f t="shared" si="74"/>
        <v>0</v>
      </c>
      <c r="V108" s="14">
        <f t="shared" si="74"/>
        <v>-92000</v>
      </c>
      <c r="W108" s="14">
        <f t="shared" si="74"/>
        <v>92000</v>
      </c>
      <c r="X108" s="14">
        <f t="shared" si="74"/>
        <v>0</v>
      </c>
      <c r="Y108" s="14">
        <f t="shared" si="74"/>
        <v>0</v>
      </c>
      <c r="Z108" s="14">
        <f t="shared" si="74"/>
        <v>92000</v>
      </c>
      <c r="AA108" s="14">
        <f t="shared" si="74"/>
        <v>0</v>
      </c>
      <c r="AB108" s="14">
        <f t="shared" si="74"/>
        <v>0</v>
      </c>
      <c r="AC108" s="14">
        <f t="shared" si="74"/>
        <v>-920</v>
      </c>
      <c r="AD108" s="14">
        <f t="shared" si="74"/>
        <v>0</v>
      </c>
      <c r="AE108" s="626">
        <f t="shared" si="74"/>
        <v>-920</v>
      </c>
      <c r="AF108" s="632">
        <f t="shared" si="74"/>
        <v>0</v>
      </c>
      <c r="AG108" s="11">
        <f t="shared" si="74"/>
        <v>0</v>
      </c>
      <c r="AH108" s="11">
        <f t="shared" si="74"/>
        <v>0</v>
      </c>
      <c r="AI108" s="11">
        <f t="shared" si="74"/>
        <v>0</v>
      </c>
      <c r="AJ108" s="11">
        <f t="shared" si="74"/>
        <v>0</v>
      </c>
      <c r="AK108" s="11">
        <f t="shared" si="74"/>
        <v>0</v>
      </c>
      <c r="AL108" s="633">
        <f t="shared" si="74"/>
        <v>0</v>
      </c>
      <c r="AM108" s="119">
        <f t="shared" si="74"/>
        <v>21692058</v>
      </c>
      <c r="AN108" s="14">
        <f t="shared" si="74"/>
        <v>15863736</v>
      </c>
      <c r="AO108" s="14">
        <f t="shared" si="74"/>
        <v>230000</v>
      </c>
      <c r="AP108" s="14">
        <f t="shared" si="74"/>
        <v>5439684</v>
      </c>
      <c r="AQ108" s="14">
        <f t="shared" si="74"/>
        <v>158638</v>
      </c>
      <c r="AR108" s="14">
        <f t="shared" si="74"/>
        <v>0</v>
      </c>
      <c r="AS108" s="633">
        <f t="shared" si="74"/>
        <v>30.051699999999997</v>
      </c>
    </row>
    <row r="109" spans="1:45" s="60" customFormat="1" ht="12.95" customHeight="1" x14ac:dyDescent="0.25">
      <c r="D109" s="236"/>
      <c r="E109" s="237"/>
      <c r="F109" s="236"/>
      <c r="G109" s="238"/>
      <c r="H109" s="16">
        <v>3231</v>
      </c>
      <c r="I109" s="119">
        <f t="shared" ref="I109:AS109" si="75">SUMIF($F$12:$F$420,"=3231",I$12:I$420)</f>
        <v>17133513</v>
      </c>
      <c r="J109" s="14">
        <f t="shared" si="75"/>
        <v>12710321</v>
      </c>
      <c r="K109" s="14">
        <f t="shared" si="75"/>
        <v>0</v>
      </c>
      <c r="L109" s="14">
        <f t="shared" si="75"/>
        <v>4296089</v>
      </c>
      <c r="M109" s="14">
        <f t="shared" si="75"/>
        <v>127103</v>
      </c>
      <c r="N109" s="14">
        <f t="shared" si="75"/>
        <v>0</v>
      </c>
      <c r="O109" s="787">
        <f t="shared" si="75"/>
        <v>19.056100000000001</v>
      </c>
      <c r="P109" s="120">
        <f t="shared" si="75"/>
        <v>0</v>
      </c>
      <c r="Q109" s="14">
        <f t="shared" si="75"/>
        <v>0</v>
      </c>
      <c r="R109" s="14">
        <f t="shared" si="75"/>
        <v>0</v>
      </c>
      <c r="S109" s="14">
        <f t="shared" si="75"/>
        <v>0</v>
      </c>
      <c r="T109" s="14">
        <f t="shared" si="75"/>
        <v>0</v>
      </c>
      <c r="U109" s="14">
        <f t="shared" si="75"/>
        <v>0</v>
      </c>
      <c r="V109" s="14">
        <f t="shared" si="75"/>
        <v>0</v>
      </c>
      <c r="W109" s="14">
        <f t="shared" si="75"/>
        <v>0</v>
      </c>
      <c r="X109" s="14">
        <f t="shared" si="75"/>
        <v>0</v>
      </c>
      <c r="Y109" s="14">
        <f t="shared" si="75"/>
        <v>0</v>
      </c>
      <c r="Z109" s="14">
        <f t="shared" si="75"/>
        <v>0</v>
      </c>
      <c r="AA109" s="14">
        <f t="shared" si="75"/>
        <v>0</v>
      </c>
      <c r="AB109" s="14">
        <f t="shared" si="75"/>
        <v>0</v>
      </c>
      <c r="AC109" s="14">
        <f t="shared" si="75"/>
        <v>0</v>
      </c>
      <c r="AD109" s="14">
        <f t="shared" si="75"/>
        <v>0</v>
      </c>
      <c r="AE109" s="626">
        <f t="shared" si="75"/>
        <v>0</v>
      </c>
      <c r="AF109" s="632">
        <f t="shared" si="75"/>
        <v>0</v>
      </c>
      <c r="AG109" s="11">
        <f t="shared" si="75"/>
        <v>0</v>
      </c>
      <c r="AH109" s="11">
        <f t="shared" si="75"/>
        <v>0</v>
      </c>
      <c r="AI109" s="11">
        <f t="shared" si="75"/>
        <v>0</v>
      </c>
      <c r="AJ109" s="11">
        <f t="shared" si="75"/>
        <v>0</v>
      </c>
      <c r="AK109" s="11">
        <f t="shared" si="75"/>
        <v>0</v>
      </c>
      <c r="AL109" s="633">
        <f t="shared" si="75"/>
        <v>0</v>
      </c>
      <c r="AM109" s="119">
        <f t="shared" si="75"/>
        <v>17133513</v>
      </c>
      <c r="AN109" s="14">
        <f t="shared" si="75"/>
        <v>12710321</v>
      </c>
      <c r="AO109" s="14">
        <f t="shared" si="75"/>
        <v>0</v>
      </c>
      <c r="AP109" s="14">
        <f t="shared" si="75"/>
        <v>4296089</v>
      </c>
      <c r="AQ109" s="14">
        <f t="shared" si="75"/>
        <v>127103</v>
      </c>
      <c r="AR109" s="14">
        <f t="shared" si="75"/>
        <v>0</v>
      </c>
      <c r="AS109" s="633">
        <f t="shared" si="75"/>
        <v>19.056100000000001</v>
      </c>
    </row>
    <row r="110" spans="1:45" s="60" customFormat="1" ht="12.95" customHeight="1" thickBot="1" x14ac:dyDescent="0.3">
      <c r="D110" s="236"/>
      <c r="E110" s="237"/>
      <c r="F110" s="236"/>
      <c r="G110" s="238"/>
      <c r="H110" s="95">
        <v>3233</v>
      </c>
      <c r="I110" s="122">
        <f t="shared" ref="I110:AS110" si="76">SUMIF($F$12:$F$420,"=3233",I$12:I$420)</f>
        <v>6872288</v>
      </c>
      <c r="J110" s="123">
        <f t="shared" si="76"/>
        <v>5068359</v>
      </c>
      <c r="K110" s="123">
        <f t="shared" si="76"/>
        <v>30000</v>
      </c>
      <c r="L110" s="123">
        <f t="shared" si="76"/>
        <v>1723245</v>
      </c>
      <c r="M110" s="123">
        <f t="shared" si="76"/>
        <v>50684</v>
      </c>
      <c r="N110" s="123">
        <f t="shared" si="76"/>
        <v>0</v>
      </c>
      <c r="O110" s="788">
        <f t="shared" si="76"/>
        <v>8.58</v>
      </c>
      <c r="P110" s="125">
        <f t="shared" si="76"/>
        <v>-20000</v>
      </c>
      <c r="Q110" s="123">
        <f t="shared" si="76"/>
        <v>0</v>
      </c>
      <c r="R110" s="123">
        <f t="shared" si="76"/>
        <v>0</v>
      </c>
      <c r="S110" s="123">
        <f t="shared" si="76"/>
        <v>0</v>
      </c>
      <c r="T110" s="123">
        <f t="shared" si="76"/>
        <v>0</v>
      </c>
      <c r="U110" s="123">
        <f t="shared" si="76"/>
        <v>0</v>
      </c>
      <c r="V110" s="123">
        <f t="shared" si="76"/>
        <v>-20000</v>
      </c>
      <c r="W110" s="123">
        <f t="shared" si="76"/>
        <v>20000</v>
      </c>
      <c r="X110" s="123">
        <f t="shared" si="76"/>
        <v>0</v>
      </c>
      <c r="Y110" s="123">
        <f t="shared" si="76"/>
        <v>0</v>
      </c>
      <c r="Z110" s="123">
        <f t="shared" si="76"/>
        <v>20000</v>
      </c>
      <c r="AA110" s="123">
        <f t="shared" si="76"/>
        <v>0</v>
      </c>
      <c r="AB110" s="123">
        <f t="shared" si="76"/>
        <v>0</v>
      </c>
      <c r="AC110" s="123">
        <f t="shared" si="76"/>
        <v>-200</v>
      </c>
      <c r="AD110" s="123">
        <f t="shared" si="76"/>
        <v>0</v>
      </c>
      <c r="AE110" s="627">
        <f t="shared" si="76"/>
        <v>-200</v>
      </c>
      <c r="AF110" s="634">
        <f t="shared" si="76"/>
        <v>-3.9999999999999994E-2</v>
      </c>
      <c r="AG110" s="124">
        <f t="shared" si="76"/>
        <v>0</v>
      </c>
      <c r="AH110" s="124">
        <f t="shared" si="76"/>
        <v>0</v>
      </c>
      <c r="AI110" s="124">
        <f t="shared" si="76"/>
        <v>0</v>
      </c>
      <c r="AJ110" s="124">
        <f t="shared" si="76"/>
        <v>0</v>
      </c>
      <c r="AK110" s="124">
        <f t="shared" si="76"/>
        <v>0</v>
      </c>
      <c r="AL110" s="635">
        <f t="shared" si="76"/>
        <v>-3.9999999999999994E-2</v>
      </c>
      <c r="AM110" s="122">
        <f t="shared" si="76"/>
        <v>6872088</v>
      </c>
      <c r="AN110" s="123">
        <f t="shared" si="76"/>
        <v>5048359</v>
      </c>
      <c r="AO110" s="123">
        <f t="shared" si="76"/>
        <v>50000</v>
      </c>
      <c r="AP110" s="123">
        <f t="shared" si="76"/>
        <v>1723245</v>
      </c>
      <c r="AQ110" s="123">
        <f t="shared" si="76"/>
        <v>50484</v>
      </c>
      <c r="AR110" s="123">
        <f t="shared" si="76"/>
        <v>0</v>
      </c>
      <c r="AS110" s="635">
        <f t="shared" si="76"/>
        <v>8.5400000000000009</v>
      </c>
    </row>
    <row r="111" spans="1:45" ht="12.95" customHeight="1" x14ac:dyDescent="0.25">
      <c r="E111" s="175"/>
    </row>
    <row r="112" spans="1:45" x14ac:dyDescent="0.25">
      <c r="E112" s="175"/>
    </row>
    <row r="113" spans="5:5" x14ac:dyDescent="0.25">
      <c r="E113" s="175"/>
    </row>
  </sheetData>
  <mergeCells count="46">
    <mergeCell ref="AD7:AD10"/>
    <mergeCell ref="AF8:AF10"/>
    <mergeCell ref="AG8:AG10"/>
    <mergeCell ref="AH8:AH10"/>
    <mergeCell ref="AB7:AB10"/>
    <mergeCell ref="AF7:AL7"/>
    <mergeCell ref="AE7:AE10"/>
    <mergeCell ref="AI8:AI10"/>
    <mergeCell ref="AL8:AL10"/>
    <mergeCell ref="S9:S10"/>
    <mergeCell ref="R9:R10"/>
    <mergeCell ref="V9:V10"/>
    <mergeCell ref="X9:X10"/>
    <mergeCell ref="AA7:AA10"/>
    <mergeCell ref="Q9:Q10"/>
    <mergeCell ref="A3:E3"/>
    <mergeCell ref="I8:I10"/>
    <mergeCell ref="I6:O7"/>
    <mergeCell ref="Z9:Z10"/>
    <mergeCell ref="M9:M10"/>
    <mergeCell ref="N9:N10"/>
    <mergeCell ref="O8:O10"/>
    <mergeCell ref="J9:J10"/>
    <mergeCell ref="P6:AL6"/>
    <mergeCell ref="P7:V8"/>
    <mergeCell ref="W7:Z8"/>
    <mergeCell ref="AJ8:AJ10"/>
    <mergeCell ref="AK8:AK10"/>
    <mergeCell ref="AC7:AC10"/>
    <mergeCell ref="P9:P10"/>
    <mergeCell ref="K9:K10"/>
    <mergeCell ref="J8:M8"/>
    <mergeCell ref="AN8:AQ8"/>
    <mergeCell ref="AR9:AR10"/>
    <mergeCell ref="AM6:AS7"/>
    <mergeCell ref="AS8:AS10"/>
    <mergeCell ref="AN9:AN10"/>
    <mergeCell ref="AP9:AP10"/>
    <mergeCell ref="AO9:AO10"/>
    <mergeCell ref="AQ9:AQ10"/>
    <mergeCell ref="AM8:AM10"/>
    <mergeCell ref="L9:L10"/>
    <mergeCell ref="U9:U10"/>
    <mergeCell ref="W9:W10"/>
    <mergeCell ref="Y9:Y10"/>
    <mergeCell ref="T9:T1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AU145"/>
  <sheetViews>
    <sheetView zoomScaleNormal="100" workbookViewId="0">
      <pane xSplit="8" ySplit="11" topLeftCell="AE13" activePane="bottomRight" state="frozen"/>
      <selection activeCell="A5" sqref="A5"/>
      <selection pane="topRight" activeCell="A5" sqref="A5"/>
      <selection pane="bottomLeft" activeCell="A5" sqref="A5"/>
      <selection pane="bottomRight" activeCell="AM6" sqref="AM6:AS7"/>
    </sheetView>
  </sheetViews>
  <sheetFormatPr defaultColWidth="9.140625" defaultRowHeight="15" x14ac:dyDescent="0.25"/>
  <cols>
    <col min="1" max="1" width="5" style="233" customWidth="1"/>
    <col min="2" max="2" width="7.140625" style="175" bestFit="1" customWidth="1"/>
    <col min="3" max="3" width="9.28515625" style="267" customWidth="1"/>
    <col min="4" max="4" width="8.7109375" style="175" customWidth="1"/>
    <col min="5" max="5" width="34.85546875" style="175" customWidth="1"/>
    <col min="6" max="6" width="6.140625" style="175" customWidth="1"/>
    <col min="7" max="7" width="10.28515625" style="175" customWidth="1"/>
    <col min="8" max="8" width="8" style="175" customWidth="1"/>
    <col min="9" max="9" width="12.5703125" style="239" customWidth="1"/>
    <col min="10" max="11" width="11.85546875" style="239" customWidth="1"/>
    <col min="12" max="12" width="11.5703125" style="239" customWidth="1"/>
    <col min="13" max="13" width="11.7109375" style="239" customWidth="1"/>
    <col min="14" max="14" width="10.42578125" style="239" customWidth="1"/>
    <col min="15" max="15" width="12.140625" style="701" customWidth="1"/>
    <col min="16" max="18" width="10.28515625" style="239" customWidth="1"/>
    <col min="19" max="19" width="11.28515625" style="239" customWidth="1"/>
    <col min="20" max="20" width="12.140625" style="462" customWidth="1"/>
    <col min="21" max="23" width="10.28515625" style="239" customWidth="1"/>
    <col min="24" max="24" width="10.7109375" style="239" customWidth="1"/>
    <col min="25" max="26" width="10.28515625" style="239" customWidth="1"/>
    <col min="27" max="28" width="10.42578125" style="240" customWidth="1"/>
    <col min="29" max="29" width="11.28515625" style="239" customWidth="1"/>
    <col min="30" max="30" width="10.42578125" style="239" customWidth="1"/>
    <col min="31" max="31" width="9.7109375" style="239" customWidth="1"/>
    <col min="32" max="32" width="10.28515625" style="240" customWidth="1"/>
    <col min="33" max="33" width="9.42578125" style="240" customWidth="1"/>
    <col min="34" max="34" width="10.140625" style="240" customWidth="1"/>
    <col min="35" max="35" width="8.5703125" style="240" customWidth="1"/>
    <col min="36" max="36" width="10.5703125" style="463" customWidth="1"/>
    <col min="37" max="37" width="10.140625" style="240" customWidth="1"/>
    <col min="38" max="38" width="9.140625" style="240" customWidth="1"/>
    <col min="39" max="39" width="12.7109375" style="240" customWidth="1"/>
    <col min="40" max="40" width="11.7109375" style="240" customWidth="1"/>
    <col min="41" max="41" width="10.85546875" style="240" customWidth="1"/>
    <col min="42" max="42" width="11.7109375" style="240" customWidth="1"/>
    <col min="43" max="43" width="10.85546875" style="240" customWidth="1"/>
    <col min="44" max="44" width="10.42578125" style="240" customWidth="1"/>
    <col min="45" max="45" width="11.5703125" style="240" customWidth="1"/>
    <col min="46" max="47" width="9.140625" style="175" customWidth="1"/>
    <col min="48" max="16384" width="9.140625" style="175"/>
  </cols>
  <sheetData>
    <row r="1" spans="1:45" x14ac:dyDescent="0.25">
      <c r="A1" s="321" t="s">
        <v>2</v>
      </c>
      <c r="B1" s="321"/>
      <c r="C1" s="173"/>
      <c r="D1" s="321"/>
      <c r="E1" s="321"/>
      <c r="F1" s="174"/>
      <c r="G1" s="174"/>
      <c r="H1" s="174"/>
      <c r="AC1" s="48"/>
      <c r="AD1" s="48"/>
      <c r="AE1" s="48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x14ac:dyDescent="0.25">
      <c r="A2" s="321" t="s">
        <v>3</v>
      </c>
      <c r="B2" s="321"/>
      <c r="C2" s="173"/>
      <c r="D2" s="321"/>
      <c r="E2" s="321"/>
      <c r="F2" s="174"/>
      <c r="G2" s="174"/>
      <c r="H2" s="174"/>
    </row>
    <row r="3" spans="1:45" x14ac:dyDescent="0.25">
      <c r="A3" s="997" t="s">
        <v>4</v>
      </c>
      <c r="B3" s="997"/>
      <c r="C3" s="997"/>
      <c r="D3" s="997"/>
      <c r="E3" s="997"/>
      <c r="F3" s="174"/>
      <c r="G3" s="174"/>
      <c r="H3" s="174"/>
      <c r="AD3" s="380"/>
    </row>
    <row r="4" spans="1:45" x14ac:dyDescent="0.25">
      <c r="A4" s="176"/>
      <c r="B4" s="321"/>
      <c r="C4" s="321"/>
      <c r="D4" s="321"/>
      <c r="E4" s="321"/>
      <c r="F4" s="174"/>
      <c r="G4" s="174"/>
      <c r="H4" s="174"/>
      <c r="P4" s="49"/>
      <c r="Q4" s="845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845"/>
      <c r="AH4" s="50"/>
      <c r="AI4" s="50"/>
      <c r="AJ4" s="50"/>
      <c r="AK4" s="50"/>
      <c r="AL4" s="50"/>
    </row>
    <row r="5" spans="1:45" ht="16.5" thickBot="1" x14ac:dyDescent="0.3">
      <c r="A5" s="127" t="s">
        <v>828</v>
      </c>
      <c r="B5" s="475"/>
      <c r="C5" s="475"/>
      <c r="D5" s="475"/>
      <c r="E5" s="474"/>
      <c r="F5" s="548"/>
      <c r="G5" s="548"/>
      <c r="H5" s="474"/>
      <c r="I5" s="177"/>
      <c r="J5" s="864"/>
      <c r="K5" s="864"/>
      <c r="L5" s="864"/>
      <c r="M5" s="864"/>
      <c r="N5" s="864"/>
      <c r="O5" s="865"/>
      <c r="P5" s="472"/>
      <c r="Q5" s="851" t="s">
        <v>815</v>
      </c>
      <c r="R5" s="47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49"/>
      <c r="AD5" s="49"/>
      <c r="AE5" s="49"/>
      <c r="AF5" s="472"/>
      <c r="AG5" s="851" t="s">
        <v>815</v>
      </c>
      <c r="AH5" s="472"/>
      <c r="AI5" s="50"/>
      <c r="AJ5" s="50"/>
      <c r="AK5" s="50"/>
      <c r="AL5" s="50"/>
    </row>
    <row r="6" spans="1:45" ht="15" customHeight="1" thickBot="1" x14ac:dyDescent="0.3">
      <c r="A6" s="390"/>
      <c r="B6" s="391"/>
      <c r="C6" s="392"/>
      <c r="D6" s="392"/>
      <c r="E6" s="391"/>
      <c r="F6" s="391"/>
      <c r="G6" s="47"/>
      <c r="H6" s="174"/>
      <c r="I6" s="972" t="s">
        <v>814</v>
      </c>
      <c r="J6" s="973"/>
      <c r="K6" s="973"/>
      <c r="L6" s="973"/>
      <c r="M6" s="973"/>
      <c r="N6" s="973"/>
      <c r="O6" s="974"/>
      <c r="P6" s="988" t="s">
        <v>809</v>
      </c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90"/>
      <c r="AM6" s="972" t="s">
        <v>829</v>
      </c>
      <c r="AN6" s="973"/>
      <c r="AO6" s="973"/>
      <c r="AP6" s="973"/>
      <c r="AQ6" s="973"/>
      <c r="AR6" s="973"/>
      <c r="AS6" s="974"/>
    </row>
    <row r="7" spans="1:45" ht="16.5" customHeight="1" thickBot="1" x14ac:dyDescent="0.3">
      <c r="A7" s="176"/>
      <c r="B7" s="178"/>
      <c r="C7" s="60"/>
      <c r="D7" s="179"/>
      <c r="E7" s="178"/>
      <c r="F7" s="174"/>
      <c r="G7" s="174"/>
      <c r="H7" s="174"/>
      <c r="I7" s="975"/>
      <c r="J7" s="976"/>
      <c r="K7" s="976"/>
      <c r="L7" s="976"/>
      <c r="M7" s="976"/>
      <c r="N7" s="976"/>
      <c r="O7" s="977"/>
      <c r="P7" s="926" t="s">
        <v>773</v>
      </c>
      <c r="Q7" s="926"/>
      <c r="R7" s="926"/>
      <c r="S7" s="926"/>
      <c r="T7" s="926"/>
      <c r="U7" s="926"/>
      <c r="V7" s="927"/>
      <c r="W7" s="932" t="s">
        <v>774</v>
      </c>
      <c r="X7" s="933"/>
      <c r="Y7" s="933"/>
      <c r="Z7" s="934"/>
      <c r="AA7" s="958" t="s">
        <v>793</v>
      </c>
      <c r="AB7" s="939" t="s">
        <v>5</v>
      </c>
      <c r="AC7" s="939" t="s">
        <v>266</v>
      </c>
      <c r="AD7" s="939" t="s">
        <v>801</v>
      </c>
      <c r="AE7" s="952" t="s">
        <v>275</v>
      </c>
      <c r="AF7" s="923" t="s">
        <v>813</v>
      </c>
      <c r="AG7" s="924"/>
      <c r="AH7" s="924"/>
      <c r="AI7" s="924"/>
      <c r="AJ7" s="924"/>
      <c r="AK7" s="924"/>
      <c r="AL7" s="925"/>
      <c r="AM7" s="975"/>
      <c r="AN7" s="976"/>
      <c r="AO7" s="976"/>
      <c r="AP7" s="976"/>
      <c r="AQ7" s="976"/>
      <c r="AR7" s="976"/>
      <c r="AS7" s="977"/>
    </row>
    <row r="8" spans="1:45" ht="15" customHeight="1" x14ac:dyDescent="0.25">
      <c r="A8" s="180"/>
      <c r="B8" s="181"/>
      <c r="C8" s="181"/>
      <c r="D8" s="181"/>
      <c r="E8" s="181"/>
      <c r="F8" s="181"/>
      <c r="G8" s="181"/>
      <c r="H8" s="181"/>
      <c r="I8" s="993" t="s">
        <v>6</v>
      </c>
      <c r="J8" s="991" t="s">
        <v>753</v>
      </c>
      <c r="K8" s="992"/>
      <c r="L8" s="992"/>
      <c r="M8" s="992"/>
      <c r="N8" s="683"/>
      <c r="O8" s="969" t="s">
        <v>800</v>
      </c>
      <c r="P8" s="928"/>
      <c r="Q8" s="928"/>
      <c r="R8" s="928"/>
      <c r="S8" s="928"/>
      <c r="T8" s="928"/>
      <c r="U8" s="928"/>
      <c r="V8" s="929"/>
      <c r="W8" s="935"/>
      <c r="X8" s="928"/>
      <c r="Y8" s="928"/>
      <c r="Z8" s="929"/>
      <c r="AA8" s="958"/>
      <c r="AB8" s="939"/>
      <c r="AC8" s="939"/>
      <c r="AD8" s="939"/>
      <c r="AE8" s="952"/>
      <c r="AF8" s="998" t="s">
        <v>267</v>
      </c>
      <c r="AG8" s="945" t="s">
        <v>268</v>
      </c>
      <c r="AH8" s="966" t="s">
        <v>790</v>
      </c>
      <c r="AI8" s="945" t="s">
        <v>762</v>
      </c>
      <c r="AJ8" s="945" t="s">
        <v>791</v>
      </c>
      <c r="AK8" s="948" t="s">
        <v>269</v>
      </c>
      <c r="AL8" s="950" t="s">
        <v>798</v>
      </c>
      <c r="AM8" s="985" t="s">
        <v>6</v>
      </c>
      <c r="AN8" s="982" t="s">
        <v>753</v>
      </c>
      <c r="AO8" s="982"/>
      <c r="AP8" s="982"/>
      <c r="AQ8" s="982"/>
      <c r="AR8" s="684"/>
      <c r="AS8" s="969" t="s">
        <v>800</v>
      </c>
    </row>
    <row r="9" spans="1:45" ht="40.5" customHeight="1" thickBot="1" x14ac:dyDescent="0.3">
      <c r="A9" s="182" t="s">
        <v>750</v>
      </c>
      <c r="B9" s="60"/>
      <c r="C9" s="60"/>
      <c r="D9" s="183"/>
      <c r="E9" s="60"/>
      <c r="F9" s="184"/>
      <c r="G9" s="185"/>
      <c r="H9" s="185"/>
      <c r="I9" s="994"/>
      <c r="J9" s="954" t="s">
        <v>259</v>
      </c>
      <c r="K9" s="964" t="s">
        <v>265</v>
      </c>
      <c r="L9" s="956" t="s">
        <v>5</v>
      </c>
      <c r="M9" s="956" t="s">
        <v>1</v>
      </c>
      <c r="N9" s="956" t="s">
        <v>801</v>
      </c>
      <c r="O9" s="970"/>
      <c r="P9" s="962" t="s">
        <v>270</v>
      </c>
      <c r="Q9" s="943" t="s">
        <v>788</v>
      </c>
      <c r="R9" s="943" t="s">
        <v>762</v>
      </c>
      <c r="S9" s="941" t="s">
        <v>804</v>
      </c>
      <c r="T9" s="941" t="s">
        <v>791</v>
      </c>
      <c r="U9" s="941" t="s">
        <v>269</v>
      </c>
      <c r="V9" s="930" t="s">
        <v>763</v>
      </c>
      <c r="W9" s="941" t="s">
        <v>271</v>
      </c>
      <c r="X9" s="960" t="s">
        <v>792</v>
      </c>
      <c r="Y9" s="941" t="s">
        <v>272</v>
      </c>
      <c r="Z9" s="930" t="s">
        <v>722</v>
      </c>
      <c r="AA9" s="958"/>
      <c r="AB9" s="939"/>
      <c r="AC9" s="939"/>
      <c r="AD9" s="939"/>
      <c r="AE9" s="952"/>
      <c r="AF9" s="998"/>
      <c r="AG9" s="946"/>
      <c r="AH9" s="967"/>
      <c r="AI9" s="946"/>
      <c r="AJ9" s="946"/>
      <c r="AK9" s="948"/>
      <c r="AL9" s="950"/>
      <c r="AM9" s="986"/>
      <c r="AN9" s="978" t="s">
        <v>259</v>
      </c>
      <c r="AO9" s="980" t="s">
        <v>265</v>
      </c>
      <c r="AP9" s="983" t="s">
        <v>5</v>
      </c>
      <c r="AQ9" s="983" t="s">
        <v>1</v>
      </c>
      <c r="AR9" s="983" t="s">
        <v>801</v>
      </c>
      <c r="AS9" s="970"/>
    </row>
    <row r="10" spans="1:45" ht="23.25" customHeight="1" thickBot="1" x14ac:dyDescent="0.3">
      <c r="A10" s="186" t="s">
        <v>729</v>
      </c>
      <c r="B10" s="187" t="s">
        <v>512</v>
      </c>
      <c r="C10" s="187" t="s">
        <v>513</v>
      </c>
      <c r="D10" s="187" t="s">
        <v>250</v>
      </c>
      <c r="E10" s="115" t="s">
        <v>731</v>
      </c>
      <c r="F10" s="187" t="s">
        <v>0</v>
      </c>
      <c r="G10" s="188" t="s">
        <v>251</v>
      </c>
      <c r="H10" s="33" t="s">
        <v>261</v>
      </c>
      <c r="I10" s="995"/>
      <c r="J10" s="955"/>
      <c r="K10" s="965"/>
      <c r="L10" s="957"/>
      <c r="M10" s="957"/>
      <c r="N10" s="957"/>
      <c r="O10" s="971"/>
      <c r="P10" s="963"/>
      <c r="Q10" s="944"/>
      <c r="R10" s="944"/>
      <c r="S10" s="942"/>
      <c r="T10" s="942"/>
      <c r="U10" s="942"/>
      <c r="V10" s="931"/>
      <c r="W10" s="942"/>
      <c r="X10" s="961"/>
      <c r="Y10" s="942"/>
      <c r="Z10" s="931"/>
      <c r="AA10" s="959"/>
      <c r="AB10" s="940"/>
      <c r="AC10" s="940"/>
      <c r="AD10" s="940"/>
      <c r="AE10" s="953"/>
      <c r="AF10" s="999"/>
      <c r="AG10" s="947"/>
      <c r="AH10" s="968"/>
      <c r="AI10" s="947"/>
      <c r="AJ10" s="947"/>
      <c r="AK10" s="949"/>
      <c r="AL10" s="951"/>
      <c r="AM10" s="987"/>
      <c r="AN10" s="979"/>
      <c r="AO10" s="981"/>
      <c r="AP10" s="984"/>
      <c r="AQ10" s="984"/>
      <c r="AR10" s="984"/>
      <c r="AS10" s="971"/>
    </row>
    <row r="11" spans="1:45" s="192" customFormat="1" ht="11.25" customHeight="1" thickBot="1" x14ac:dyDescent="0.25">
      <c r="A11" s="189" t="s">
        <v>514</v>
      </c>
      <c r="B11" s="190" t="s">
        <v>515</v>
      </c>
      <c r="C11" s="190" t="s">
        <v>252</v>
      </c>
      <c r="D11" s="190" t="s">
        <v>253</v>
      </c>
      <c r="E11" s="190" t="s">
        <v>516</v>
      </c>
      <c r="F11" s="190" t="s">
        <v>0</v>
      </c>
      <c r="G11" s="190" t="s">
        <v>517</v>
      </c>
      <c r="H11" s="191" t="s">
        <v>725</v>
      </c>
      <c r="I11" s="570" t="s">
        <v>254</v>
      </c>
      <c r="J11" s="530" t="s">
        <v>255</v>
      </c>
      <c r="K11" s="530" t="s">
        <v>260</v>
      </c>
      <c r="L11" s="530" t="s">
        <v>256</v>
      </c>
      <c r="M11" s="530" t="s">
        <v>257</v>
      </c>
      <c r="N11" s="530" t="s">
        <v>803</v>
      </c>
      <c r="O11" s="571" t="s">
        <v>812</v>
      </c>
      <c r="P11" s="531" t="s">
        <v>776</v>
      </c>
      <c r="Q11" s="530" t="s">
        <v>789</v>
      </c>
      <c r="R11" s="530" t="s">
        <v>776</v>
      </c>
      <c r="S11" s="530" t="s">
        <v>776</v>
      </c>
      <c r="T11" s="530" t="s">
        <v>789</v>
      </c>
      <c r="U11" s="530" t="s">
        <v>789</v>
      </c>
      <c r="V11" s="530" t="s">
        <v>776</v>
      </c>
      <c r="W11" s="531" t="s">
        <v>777</v>
      </c>
      <c r="X11" s="530" t="s">
        <v>777</v>
      </c>
      <c r="Y11" s="530" t="s">
        <v>777</v>
      </c>
      <c r="Z11" s="530" t="s">
        <v>777</v>
      </c>
      <c r="AA11" s="531" t="s">
        <v>775</v>
      </c>
      <c r="AB11" s="530" t="s">
        <v>273</v>
      </c>
      <c r="AC11" s="530" t="s">
        <v>274</v>
      </c>
      <c r="AD11" s="530" t="s">
        <v>802</v>
      </c>
      <c r="AE11" s="574" t="s">
        <v>276</v>
      </c>
      <c r="AF11" s="577" t="s">
        <v>811</v>
      </c>
      <c r="AG11" s="751" t="s">
        <v>811</v>
      </c>
      <c r="AH11" s="751" t="s">
        <v>811</v>
      </c>
      <c r="AI11" s="751" t="s">
        <v>811</v>
      </c>
      <c r="AJ11" s="751" t="s">
        <v>811</v>
      </c>
      <c r="AK11" s="751" t="s">
        <v>811</v>
      </c>
      <c r="AL11" s="578" t="s">
        <v>811</v>
      </c>
      <c r="AM11" s="531" t="s">
        <v>254</v>
      </c>
      <c r="AN11" s="530" t="s">
        <v>255</v>
      </c>
      <c r="AO11" s="530" t="s">
        <v>260</v>
      </c>
      <c r="AP11" s="530" t="s">
        <v>256</v>
      </c>
      <c r="AQ11" s="530" t="s">
        <v>257</v>
      </c>
      <c r="AR11" s="574" t="s">
        <v>803</v>
      </c>
      <c r="AS11" s="578" t="s">
        <v>812</v>
      </c>
    </row>
    <row r="12" spans="1:45" ht="12.95" customHeight="1" x14ac:dyDescent="0.25">
      <c r="A12" s="193">
        <v>1</v>
      </c>
      <c r="B12" s="242">
        <v>5489</v>
      </c>
      <c r="C12" s="243">
        <v>600099482</v>
      </c>
      <c r="D12" s="195">
        <v>71166289</v>
      </c>
      <c r="E12" s="244" t="s">
        <v>336</v>
      </c>
      <c r="F12" s="195">
        <v>3111</v>
      </c>
      <c r="G12" s="244" t="s">
        <v>290</v>
      </c>
      <c r="H12" s="245" t="s">
        <v>262</v>
      </c>
      <c r="I12" s="579">
        <v>3305358</v>
      </c>
      <c r="J12" s="521">
        <v>2452046</v>
      </c>
      <c r="K12" s="521">
        <v>0</v>
      </c>
      <c r="L12" s="745">
        <v>828792</v>
      </c>
      <c r="M12" s="745">
        <v>24520</v>
      </c>
      <c r="N12" s="523">
        <v>0</v>
      </c>
      <c r="O12" s="779">
        <v>4.0644999999999998</v>
      </c>
      <c r="P12" s="620">
        <f>W12*-1</f>
        <v>0</v>
      </c>
      <c r="Q12" s="523">
        <v>0</v>
      </c>
      <c r="R12" s="523">
        <v>0</v>
      </c>
      <c r="S12" s="523">
        <v>0</v>
      </c>
      <c r="T12" s="523">
        <v>0</v>
      </c>
      <c r="U12" s="523">
        <v>0</v>
      </c>
      <c r="V12" s="523">
        <f>P12+Q12+R12+S12+T12+U12</f>
        <v>0</v>
      </c>
      <c r="W12" s="523">
        <v>0</v>
      </c>
      <c r="X12" s="523">
        <v>0</v>
      </c>
      <c r="Y12" s="523">
        <v>0</v>
      </c>
      <c r="Z12" s="523">
        <f>W12+X12+Y12</f>
        <v>0</v>
      </c>
      <c r="AA12" s="523">
        <f>V12+Z12</f>
        <v>0</v>
      </c>
      <c r="AB12" s="621">
        <f>ROUND((V12+Z12)*33.8%,0)</f>
        <v>0</v>
      </c>
      <c r="AC12" s="621">
        <f>ROUND(V12*1%,0)</f>
        <v>0</v>
      </c>
      <c r="AD12" s="523">
        <v>0</v>
      </c>
      <c r="AE12" s="789">
        <f>AA12+AB12+AC12+AD12</f>
        <v>0</v>
      </c>
      <c r="AF12" s="801">
        <v>0</v>
      </c>
      <c r="AG12" s="522">
        <v>0</v>
      </c>
      <c r="AH12" s="522">
        <v>0</v>
      </c>
      <c r="AI12" s="522">
        <v>0</v>
      </c>
      <c r="AJ12" s="522">
        <v>0</v>
      </c>
      <c r="AK12" s="522">
        <v>0</v>
      </c>
      <c r="AL12" s="608">
        <f>SUM(AF12:AK12)</f>
        <v>0</v>
      </c>
      <c r="AM12" s="620">
        <f>I12+AE12</f>
        <v>3305358</v>
      </c>
      <c r="AN12" s="523">
        <f>J12+V12</f>
        <v>2452046</v>
      </c>
      <c r="AO12" s="573">
        <f>K12+Z12</f>
        <v>0</v>
      </c>
      <c r="AP12" s="523">
        <f t="shared" ref="AP12:AR13" si="0">L12+AB12</f>
        <v>828792</v>
      </c>
      <c r="AQ12" s="523">
        <f t="shared" si="0"/>
        <v>24520</v>
      </c>
      <c r="AR12" s="523">
        <f t="shared" si="0"/>
        <v>0</v>
      </c>
      <c r="AS12" s="608">
        <f>O12+AL12</f>
        <v>4.0644999999999998</v>
      </c>
    </row>
    <row r="13" spans="1:45" ht="12.95" customHeight="1" x14ac:dyDescent="0.25">
      <c r="A13" s="205">
        <v>1</v>
      </c>
      <c r="B13" s="246">
        <v>5489</v>
      </c>
      <c r="C13" s="247">
        <v>600099482</v>
      </c>
      <c r="D13" s="206">
        <v>71166289</v>
      </c>
      <c r="E13" s="248" t="s">
        <v>336</v>
      </c>
      <c r="F13" s="206">
        <v>3111</v>
      </c>
      <c r="G13" s="248" t="s">
        <v>284</v>
      </c>
      <c r="H13" s="209" t="s">
        <v>263</v>
      </c>
      <c r="I13" s="580">
        <v>0</v>
      </c>
      <c r="J13" s="490">
        <v>0</v>
      </c>
      <c r="K13" s="554">
        <v>0</v>
      </c>
      <c r="L13" s="431">
        <v>0</v>
      </c>
      <c r="M13" s="431">
        <v>0</v>
      </c>
      <c r="N13" s="325">
        <v>0</v>
      </c>
      <c r="O13" s="719">
        <v>0</v>
      </c>
      <c r="P13" s="327">
        <f>W13*-1</f>
        <v>0</v>
      </c>
      <c r="Q13" s="492">
        <v>0</v>
      </c>
      <c r="R13" s="325">
        <v>0</v>
      </c>
      <c r="S13" s="325">
        <v>0</v>
      </c>
      <c r="T13" s="325">
        <v>0</v>
      </c>
      <c r="U13" s="325">
        <v>0</v>
      </c>
      <c r="V13" s="492">
        <f>P13+Q13+R13+S13+T13+U13</f>
        <v>0</v>
      </c>
      <c r="W13" s="325">
        <v>0</v>
      </c>
      <c r="X13" s="325">
        <v>0</v>
      </c>
      <c r="Y13" s="325">
        <v>0</v>
      </c>
      <c r="Z13" s="492">
        <f>W13+X13+Y13</f>
        <v>0</v>
      </c>
      <c r="AA13" s="492">
        <f>V13+Z13</f>
        <v>0</v>
      </c>
      <c r="AB13" s="494">
        <f>ROUND((V13+Z13)*33.8%,0)</f>
        <v>0</v>
      </c>
      <c r="AC13" s="494">
        <f>ROUND(V13*1%,0)</f>
        <v>0</v>
      </c>
      <c r="AD13" s="492">
        <v>0</v>
      </c>
      <c r="AE13" s="753">
        <f>AA13+AB13+AC13+AD13</f>
        <v>0</v>
      </c>
      <c r="AF13" s="688">
        <v>0</v>
      </c>
      <c r="AG13" s="491">
        <v>0</v>
      </c>
      <c r="AH13" s="326">
        <v>0</v>
      </c>
      <c r="AI13" s="326">
        <v>0</v>
      </c>
      <c r="AJ13" s="326">
        <v>0</v>
      </c>
      <c r="AK13" s="326">
        <v>0</v>
      </c>
      <c r="AL13" s="609">
        <f>SUM(AF13:AK13)</f>
        <v>0</v>
      </c>
      <c r="AM13" s="676">
        <f>I13+AE13</f>
        <v>0</v>
      </c>
      <c r="AN13" s="492">
        <f>J13+V13</f>
        <v>0</v>
      </c>
      <c r="AO13" s="573">
        <f>K13+Z13</f>
        <v>0</v>
      </c>
      <c r="AP13" s="492">
        <f t="shared" si="0"/>
        <v>0</v>
      </c>
      <c r="AQ13" s="492">
        <f t="shared" si="0"/>
        <v>0</v>
      </c>
      <c r="AR13" s="492">
        <f t="shared" si="0"/>
        <v>0</v>
      </c>
      <c r="AS13" s="609">
        <f>O13+AL13</f>
        <v>0</v>
      </c>
    </row>
    <row r="14" spans="1:45" ht="12.95" customHeight="1" x14ac:dyDescent="0.25">
      <c r="A14" s="249">
        <v>1</v>
      </c>
      <c r="B14" s="250">
        <v>5489</v>
      </c>
      <c r="C14" s="251">
        <v>600099482</v>
      </c>
      <c r="D14" s="250">
        <v>71166289</v>
      </c>
      <c r="E14" s="252" t="s">
        <v>337</v>
      </c>
      <c r="F14" s="200"/>
      <c r="G14" s="252"/>
      <c r="H14" s="214"/>
      <c r="I14" s="668">
        <v>3305358</v>
      </c>
      <c r="J14" s="355">
        <v>2452046</v>
      </c>
      <c r="K14" s="355">
        <v>0</v>
      </c>
      <c r="L14" s="355">
        <v>828792</v>
      </c>
      <c r="M14" s="355">
        <v>24520</v>
      </c>
      <c r="N14" s="355">
        <v>0</v>
      </c>
      <c r="O14" s="780">
        <v>4.0644999999999998</v>
      </c>
      <c r="P14" s="668">
        <f t="shared" ref="P14:AS14" si="1">SUM(P12:P13)</f>
        <v>0</v>
      </c>
      <c r="Q14" s="355">
        <f t="shared" si="1"/>
        <v>0</v>
      </c>
      <c r="R14" s="355">
        <f t="shared" si="1"/>
        <v>0</v>
      </c>
      <c r="S14" s="355">
        <f t="shared" si="1"/>
        <v>0</v>
      </c>
      <c r="T14" s="355">
        <f t="shared" si="1"/>
        <v>0</v>
      </c>
      <c r="U14" s="355">
        <f t="shared" si="1"/>
        <v>0</v>
      </c>
      <c r="V14" s="355">
        <f t="shared" si="1"/>
        <v>0</v>
      </c>
      <c r="W14" s="355">
        <f t="shared" si="1"/>
        <v>0</v>
      </c>
      <c r="X14" s="355">
        <f t="shared" si="1"/>
        <v>0</v>
      </c>
      <c r="Y14" s="355">
        <f t="shared" si="1"/>
        <v>0</v>
      </c>
      <c r="Z14" s="355">
        <f t="shared" si="1"/>
        <v>0</v>
      </c>
      <c r="AA14" s="355">
        <f t="shared" si="1"/>
        <v>0</v>
      </c>
      <c r="AB14" s="355">
        <f t="shared" si="1"/>
        <v>0</v>
      </c>
      <c r="AC14" s="355">
        <f t="shared" si="1"/>
        <v>0</v>
      </c>
      <c r="AD14" s="355">
        <f t="shared" si="1"/>
        <v>0</v>
      </c>
      <c r="AE14" s="665">
        <f t="shared" si="1"/>
        <v>0</v>
      </c>
      <c r="AF14" s="793">
        <v>0</v>
      </c>
      <c r="AG14" s="356">
        <f t="shared" si="1"/>
        <v>0</v>
      </c>
      <c r="AH14" s="356">
        <f t="shared" si="1"/>
        <v>0</v>
      </c>
      <c r="AI14" s="356">
        <f t="shared" si="1"/>
        <v>0</v>
      </c>
      <c r="AJ14" s="356">
        <f t="shared" si="1"/>
        <v>0</v>
      </c>
      <c r="AK14" s="356">
        <f t="shared" si="1"/>
        <v>0</v>
      </c>
      <c r="AL14" s="253">
        <f t="shared" si="1"/>
        <v>0</v>
      </c>
      <c r="AM14" s="668">
        <f t="shared" si="1"/>
        <v>3305358</v>
      </c>
      <c r="AN14" s="355">
        <f t="shared" si="1"/>
        <v>2452046</v>
      </c>
      <c r="AO14" s="355">
        <f t="shared" si="1"/>
        <v>0</v>
      </c>
      <c r="AP14" s="355">
        <f t="shared" si="1"/>
        <v>828792</v>
      </c>
      <c r="AQ14" s="355">
        <f t="shared" si="1"/>
        <v>24520</v>
      </c>
      <c r="AR14" s="355">
        <f t="shared" si="1"/>
        <v>0</v>
      </c>
      <c r="AS14" s="253">
        <f t="shared" si="1"/>
        <v>4.0644999999999998</v>
      </c>
    </row>
    <row r="15" spans="1:45" ht="12.95" customHeight="1" x14ac:dyDescent="0.25">
      <c r="A15" s="205">
        <v>2</v>
      </c>
      <c r="B15" s="246">
        <v>5451</v>
      </c>
      <c r="C15" s="247">
        <v>600098893</v>
      </c>
      <c r="D15" s="206">
        <v>70939331</v>
      </c>
      <c r="E15" s="248" t="s">
        <v>338</v>
      </c>
      <c r="F15" s="206">
        <v>3111</v>
      </c>
      <c r="G15" s="248" t="s">
        <v>290</v>
      </c>
      <c r="H15" s="209" t="s">
        <v>262</v>
      </c>
      <c r="I15" s="610">
        <v>10062585</v>
      </c>
      <c r="J15" s="554">
        <v>7464826</v>
      </c>
      <c r="K15" s="554">
        <v>0</v>
      </c>
      <c r="L15" s="431">
        <v>2523111</v>
      </c>
      <c r="M15" s="431">
        <v>74648</v>
      </c>
      <c r="N15" s="325">
        <v>0</v>
      </c>
      <c r="O15" s="718">
        <v>12.2258</v>
      </c>
      <c r="P15" s="327">
        <f>W15*-1</f>
        <v>0</v>
      </c>
      <c r="Q15" s="492">
        <v>0</v>
      </c>
      <c r="R15" s="325">
        <v>0</v>
      </c>
      <c r="S15" s="325">
        <v>0</v>
      </c>
      <c r="T15" s="325">
        <v>0</v>
      </c>
      <c r="U15" s="325">
        <v>0</v>
      </c>
      <c r="V15" s="492">
        <f>P15+Q15+R15+S15+T15+U15</f>
        <v>0</v>
      </c>
      <c r="W15" s="325">
        <v>0</v>
      </c>
      <c r="X15" s="325">
        <v>0</v>
      </c>
      <c r="Y15" s="325">
        <v>0</v>
      </c>
      <c r="Z15" s="492">
        <f>W15+X15+Y15</f>
        <v>0</v>
      </c>
      <c r="AA15" s="492">
        <f>V15+Z15</f>
        <v>0</v>
      </c>
      <c r="AB15" s="494">
        <f>ROUND((V15+Z15)*33.8%,0)</f>
        <v>0</v>
      </c>
      <c r="AC15" s="494">
        <f>ROUND(V15*1%,0)</f>
        <v>0</v>
      </c>
      <c r="AD15" s="492">
        <v>0</v>
      </c>
      <c r="AE15" s="753">
        <f t="shared" ref="AE15:AE16" si="2">AA15+AB15+AC15+AD15</f>
        <v>0</v>
      </c>
      <c r="AF15" s="688">
        <v>0</v>
      </c>
      <c r="AG15" s="491">
        <v>0</v>
      </c>
      <c r="AH15" s="326">
        <v>0</v>
      </c>
      <c r="AI15" s="326">
        <v>0</v>
      </c>
      <c r="AJ15" s="326">
        <v>0</v>
      </c>
      <c r="AK15" s="326">
        <v>0</v>
      </c>
      <c r="AL15" s="609">
        <f>SUM(AF15:AK15)</f>
        <v>0</v>
      </c>
      <c r="AM15" s="676">
        <f>I15+AE15</f>
        <v>10062585</v>
      </c>
      <c r="AN15" s="492">
        <f>J15+V15</f>
        <v>7464826</v>
      </c>
      <c r="AO15" s="573">
        <f>K15+Z15</f>
        <v>0</v>
      </c>
      <c r="AP15" s="492">
        <f t="shared" ref="AP15:AR16" si="3">L15+AB15</f>
        <v>2523111</v>
      </c>
      <c r="AQ15" s="492">
        <f t="shared" si="3"/>
        <v>74648</v>
      </c>
      <c r="AR15" s="492">
        <f t="shared" si="3"/>
        <v>0</v>
      </c>
      <c r="AS15" s="609">
        <f>O15+AL15</f>
        <v>12.2258</v>
      </c>
    </row>
    <row r="16" spans="1:45" ht="12.95" customHeight="1" x14ac:dyDescent="0.25">
      <c r="A16" s="205">
        <v>2</v>
      </c>
      <c r="B16" s="246">
        <v>5451</v>
      </c>
      <c r="C16" s="247">
        <v>600098893</v>
      </c>
      <c r="D16" s="206">
        <v>70939331</v>
      </c>
      <c r="E16" s="248" t="s">
        <v>338</v>
      </c>
      <c r="F16" s="206">
        <v>3111</v>
      </c>
      <c r="G16" s="248" t="s">
        <v>279</v>
      </c>
      <c r="H16" s="209" t="s">
        <v>262</v>
      </c>
      <c r="I16" s="580">
        <v>603349</v>
      </c>
      <c r="J16" s="490">
        <v>447588</v>
      </c>
      <c r="K16" s="554">
        <v>0</v>
      </c>
      <c r="L16" s="431">
        <v>151285</v>
      </c>
      <c r="M16" s="431">
        <v>4476</v>
      </c>
      <c r="N16" s="325">
        <v>0</v>
      </c>
      <c r="O16" s="719">
        <v>1</v>
      </c>
      <c r="P16" s="327">
        <f>W16*-1</f>
        <v>0</v>
      </c>
      <c r="Q16" s="492">
        <v>0</v>
      </c>
      <c r="R16" s="325">
        <v>0</v>
      </c>
      <c r="S16" s="325">
        <v>0</v>
      </c>
      <c r="T16" s="325">
        <v>0</v>
      </c>
      <c r="U16" s="325">
        <v>0</v>
      </c>
      <c r="V16" s="492">
        <f>P16+Q16+R16+S16+T16+U16</f>
        <v>0</v>
      </c>
      <c r="W16" s="325">
        <v>0</v>
      </c>
      <c r="X16" s="325">
        <v>0</v>
      </c>
      <c r="Y16" s="325">
        <v>0</v>
      </c>
      <c r="Z16" s="492">
        <f>W16+X16+Y16</f>
        <v>0</v>
      </c>
      <c r="AA16" s="492">
        <f>V16+Z16</f>
        <v>0</v>
      </c>
      <c r="AB16" s="494">
        <f>ROUND((V16+Z16)*33.8%,0)</f>
        <v>0</v>
      </c>
      <c r="AC16" s="494">
        <f>ROUND(V16*1%,0)</f>
        <v>0</v>
      </c>
      <c r="AD16" s="492">
        <v>0</v>
      </c>
      <c r="AE16" s="753">
        <f t="shared" si="2"/>
        <v>0</v>
      </c>
      <c r="AF16" s="688">
        <v>0</v>
      </c>
      <c r="AG16" s="491">
        <v>0</v>
      </c>
      <c r="AH16" s="326">
        <v>0</v>
      </c>
      <c r="AI16" s="326">
        <v>0</v>
      </c>
      <c r="AJ16" s="326">
        <v>0</v>
      </c>
      <c r="AK16" s="326">
        <v>0</v>
      </c>
      <c r="AL16" s="609">
        <f>SUM(AF16:AK16)</f>
        <v>0</v>
      </c>
      <c r="AM16" s="676">
        <f>I16+AE16</f>
        <v>603349</v>
      </c>
      <c r="AN16" s="492">
        <f>J16+V16</f>
        <v>447588</v>
      </c>
      <c r="AO16" s="573">
        <f>K16+Z16</f>
        <v>0</v>
      </c>
      <c r="AP16" s="492">
        <f t="shared" si="3"/>
        <v>151285</v>
      </c>
      <c r="AQ16" s="492">
        <f t="shared" si="3"/>
        <v>4476</v>
      </c>
      <c r="AR16" s="492">
        <f t="shared" si="3"/>
        <v>0</v>
      </c>
      <c r="AS16" s="609">
        <f>O16+AL16</f>
        <v>1</v>
      </c>
    </row>
    <row r="17" spans="1:45" ht="12.95" customHeight="1" x14ac:dyDescent="0.25">
      <c r="A17" s="249">
        <v>2</v>
      </c>
      <c r="B17" s="250">
        <v>5451</v>
      </c>
      <c r="C17" s="251">
        <v>600098893</v>
      </c>
      <c r="D17" s="250">
        <v>70939331</v>
      </c>
      <c r="E17" s="252" t="s">
        <v>339</v>
      </c>
      <c r="F17" s="200"/>
      <c r="G17" s="252"/>
      <c r="H17" s="214"/>
      <c r="I17" s="668">
        <v>10665934</v>
      </c>
      <c r="J17" s="355">
        <v>7912414</v>
      </c>
      <c r="K17" s="355">
        <v>0</v>
      </c>
      <c r="L17" s="355">
        <v>2674396</v>
      </c>
      <c r="M17" s="355">
        <v>79124</v>
      </c>
      <c r="N17" s="355">
        <v>0</v>
      </c>
      <c r="O17" s="780">
        <v>13.2258</v>
      </c>
      <c r="P17" s="668">
        <f t="shared" ref="P17:AS17" si="4">SUM(P15:P16)</f>
        <v>0</v>
      </c>
      <c r="Q17" s="355">
        <f t="shared" si="4"/>
        <v>0</v>
      </c>
      <c r="R17" s="355">
        <f t="shared" si="4"/>
        <v>0</v>
      </c>
      <c r="S17" s="355">
        <f t="shared" si="4"/>
        <v>0</v>
      </c>
      <c r="T17" s="355">
        <f t="shared" si="4"/>
        <v>0</v>
      </c>
      <c r="U17" s="355">
        <f t="shared" si="4"/>
        <v>0</v>
      </c>
      <c r="V17" s="355">
        <f t="shared" si="4"/>
        <v>0</v>
      </c>
      <c r="W17" s="355">
        <f t="shared" si="4"/>
        <v>0</v>
      </c>
      <c r="X17" s="355">
        <f t="shared" si="4"/>
        <v>0</v>
      </c>
      <c r="Y17" s="355">
        <f t="shared" si="4"/>
        <v>0</v>
      </c>
      <c r="Z17" s="355">
        <f t="shared" si="4"/>
        <v>0</v>
      </c>
      <c r="AA17" s="355">
        <f t="shared" si="4"/>
        <v>0</v>
      </c>
      <c r="AB17" s="355">
        <f t="shared" si="4"/>
        <v>0</v>
      </c>
      <c r="AC17" s="355">
        <f t="shared" si="4"/>
        <v>0</v>
      </c>
      <c r="AD17" s="355">
        <f t="shared" si="4"/>
        <v>0</v>
      </c>
      <c r="AE17" s="665">
        <f t="shared" si="4"/>
        <v>0</v>
      </c>
      <c r="AF17" s="793">
        <v>0</v>
      </c>
      <c r="AG17" s="356">
        <f t="shared" si="4"/>
        <v>0</v>
      </c>
      <c r="AH17" s="356">
        <f t="shared" si="4"/>
        <v>0</v>
      </c>
      <c r="AI17" s="356">
        <f t="shared" si="4"/>
        <v>0</v>
      </c>
      <c r="AJ17" s="356">
        <f t="shared" si="4"/>
        <v>0</v>
      </c>
      <c r="AK17" s="356">
        <f t="shared" si="4"/>
        <v>0</v>
      </c>
      <c r="AL17" s="253">
        <f t="shared" si="4"/>
        <v>0</v>
      </c>
      <c r="AM17" s="668">
        <f t="shared" si="4"/>
        <v>10665934</v>
      </c>
      <c r="AN17" s="355">
        <f t="shared" si="4"/>
        <v>7912414</v>
      </c>
      <c r="AO17" s="355">
        <f t="shared" si="4"/>
        <v>0</v>
      </c>
      <c r="AP17" s="355">
        <f t="shared" si="4"/>
        <v>2674396</v>
      </c>
      <c r="AQ17" s="355">
        <f t="shared" si="4"/>
        <v>79124</v>
      </c>
      <c r="AR17" s="355">
        <f t="shared" si="4"/>
        <v>0</v>
      </c>
      <c r="AS17" s="253">
        <f t="shared" si="4"/>
        <v>13.2258</v>
      </c>
    </row>
    <row r="18" spans="1:45" ht="12.95" customHeight="1" x14ac:dyDescent="0.25">
      <c r="A18" s="205">
        <v>3</v>
      </c>
      <c r="B18" s="246">
        <v>5450</v>
      </c>
      <c r="C18" s="247">
        <v>600098834</v>
      </c>
      <c r="D18" s="206">
        <v>70939322</v>
      </c>
      <c r="E18" s="248" t="s">
        <v>759</v>
      </c>
      <c r="F18" s="206">
        <v>3111</v>
      </c>
      <c r="G18" s="248" t="s">
        <v>290</v>
      </c>
      <c r="H18" s="209" t="s">
        <v>262</v>
      </c>
      <c r="I18" s="610">
        <v>6617849</v>
      </c>
      <c r="J18" s="554">
        <v>4897472</v>
      </c>
      <c r="K18" s="554">
        <v>12000</v>
      </c>
      <c r="L18" s="431">
        <v>1659402</v>
      </c>
      <c r="M18" s="431">
        <v>48975</v>
      </c>
      <c r="N18" s="325">
        <v>0</v>
      </c>
      <c r="O18" s="718">
        <v>8.0105000000000004</v>
      </c>
      <c r="P18" s="327">
        <f>W18*-1</f>
        <v>-8000</v>
      </c>
      <c r="Q18" s="492">
        <v>0</v>
      </c>
      <c r="R18" s="325">
        <v>0</v>
      </c>
      <c r="S18" s="325">
        <v>0</v>
      </c>
      <c r="T18" s="325">
        <v>0</v>
      </c>
      <c r="U18" s="325">
        <v>0</v>
      </c>
      <c r="V18" s="492">
        <f>P18+Q18+R18+S18+T18+U18</f>
        <v>-8000</v>
      </c>
      <c r="W18" s="325">
        <v>8000</v>
      </c>
      <c r="X18" s="325">
        <v>0</v>
      </c>
      <c r="Y18" s="325">
        <v>0</v>
      </c>
      <c r="Z18" s="492">
        <f>W18+X18+Y18</f>
        <v>8000</v>
      </c>
      <c r="AA18" s="492">
        <f>V18+Z18</f>
        <v>0</v>
      </c>
      <c r="AB18" s="494">
        <f>ROUND((V18+Z18)*33.8%,0)</f>
        <v>0</v>
      </c>
      <c r="AC18" s="494">
        <f>ROUND(V18*1%,0)</f>
        <v>-80</v>
      </c>
      <c r="AD18" s="492">
        <v>0</v>
      </c>
      <c r="AE18" s="753">
        <f t="shared" ref="AE18:AE19" si="5">AA18+AB18+AC18+AD18</f>
        <v>-80</v>
      </c>
      <c r="AF18" s="688">
        <v>0</v>
      </c>
      <c r="AG18" s="491">
        <v>0</v>
      </c>
      <c r="AH18" s="326">
        <v>0</v>
      </c>
      <c r="AI18" s="326">
        <v>0</v>
      </c>
      <c r="AJ18" s="326">
        <v>0</v>
      </c>
      <c r="AK18" s="326">
        <v>0</v>
      </c>
      <c r="AL18" s="609">
        <f>SUM(AF18:AK18)</f>
        <v>0</v>
      </c>
      <c r="AM18" s="676">
        <f>I18+AE18</f>
        <v>6617769</v>
      </c>
      <c r="AN18" s="492">
        <f>J18+V18</f>
        <v>4889472</v>
      </c>
      <c r="AO18" s="573">
        <f>K18+Z18</f>
        <v>20000</v>
      </c>
      <c r="AP18" s="492">
        <f t="shared" ref="AP18:AR19" si="6">L18+AB18</f>
        <v>1659402</v>
      </c>
      <c r="AQ18" s="492">
        <f t="shared" si="6"/>
        <v>48895</v>
      </c>
      <c r="AR18" s="492">
        <f t="shared" si="6"/>
        <v>0</v>
      </c>
      <c r="AS18" s="609">
        <f>O18+AL18</f>
        <v>8.0105000000000004</v>
      </c>
    </row>
    <row r="19" spans="1:45" ht="12.95" customHeight="1" x14ac:dyDescent="0.25">
      <c r="A19" s="205">
        <v>3</v>
      </c>
      <c r="B19" s="246">
        <v>5450</v>
      </c>
      <c r="C19" s="247">
        <v>600098834</v>
      </c>
      <c r="D19" s="206">
        <v>70939322</v>
      </c>
      <c r="E19" s="248" t="s">
        <v>759</v>
      </c>
      <c r="F19" s="206">
        <v>3111</v>
      </c>
      <c r="G19" s="248" t="s">
        <v>284</v>
      </c>
      <c r="H19" s="209" t="s">
        <v>263</v>
      </c>
      <c r="I19" s="580">
        <v>475517</v>
      </c>
      <c r="J19" s="490">
        <v>352757</v>
      </c>
      <c r="K19" s="554">
        <v>0</v>
      </c>
      <c r="L19" s="431">
        <v>119232</v>
      </c>
      <c r="M19" s="431">
        <v>3528</v>
      </c>
      <c r="N19" s="325">
        <v>0</v>
      </c>
      <c r="O19" s="719">
        <v>0.89</v>
      </c>
      <c r="P19" s="327">
        <f>W19*-1</f>
        <v>0</v>
      </c>
      <c r="Q19" s="492">
        <v>0</v>
      </c>
      <c r="R19" s="325">
        <v>0</v>
      </c>
      <c r="S19" s="325">
        <v>0</v>
      </c>
      <c r="T19" s="325">
        <v>0</v>
      </c>
      <c r="U19" s="325">
        <v>0</v>
      </c>
      <c r="V19" s="492">
        <f>P19+Q19+R19+S19+T19+U19</f>
        <v>0</v>
      </c>
      <c r="W19" s="325">
        <v>0</v>
      </c>
      <c r="X19" s="325">
        <v>0</v>
      </c>
      <c r="Y19" s="325">
        <v>0</v>
      </c>
      <c r="Z19" s="492">
        <f>W19+X19+Y19</f>
        <v>0</v>
      </c>
      <c r="AA19" s="492">
        <f>V19+Z19</f>
        <v>0</v>
      </c>
      <c r="AB19" s="494">
        <f>ROUND((V19+Z19)*33.8%,0)</f>
        <v>0</v>
      </c>
      <c r="AC19" s="494">
        <f>ROUND(V19*1%,0)</f>
        <v>0</v>
      </c>
      <c r="AD19" s="492">
        <v>0</v>
      </c>
      <c r="AE19" s="753">
        <f t="shared" si="5"/>
        <v>0</v>
      </c>
      <c r="AF19" s="688">
        <v>0</v>
      </c>
      <c r="AG19" s="491">
        <v>0</v>
      </c>
      <c r="AH19" s="326">
        <v>0</v>
      </c>
      <c r="AI19" s="326">
        <v>0</v>
      </c>
      <c r="AJ19" s="326">
        <v>0</v>
      </c>
      <c r="AK19" s="326">
        <v>0</v>
      </c>
      <c r="AL19" s="609">
        <f>SUM(AF19:AK19)</f>
        <v>0</v>
      </c>
      <c r="AM19" s="676">
        <f>I19+AE19</f>
        <v>475517</v>
      </c>
      <c r="AN19" s="492">
        <f>J19+V19</f>
        <v>352757</v>
      </c>
      <c r="AO19" s="573">
        <f>K19+Z19</f>
        <v>0</v>
      </c>
      <c r="AP19" s="492">
        <f t="shared" si="6"/>
        <v>119232</v>
      </c>
      <c r="AQ19" s="492">
        <f t="shared" si="6"/>
        <v>3528</v>
      </c>
      <c r="AR19" s="492">
        <f t="shared" si="6"/>
        <v>0</v>
      </c>
      <c r="AS19" s="609">
        <f>O19+AL19</f>
        <v>0.89</v>
      </c>
    </row>
    <row r="20" spans="1:45" ht="12.95" customHeight="1" x14ac:dyDescent="0.25">
      <c r="A20" s="249">
        <v>3</v>
      </c>
      <c r="B20" s="250">
        <v>5450</v>
      </c>
      <c r="C20" s="251">
        <v>600098834</v>
      </c>
      <c r="D20" s="250">
        <v>70939322</v>
      </c>
      <c r="E20" s="252" t="s">
        <v>340</v>
      </c>
      <c r="F20" s="216"/>
      <c r="G20" s="254"/>
      <c r="H20" s="217"/>
      <c r="I20" s="668">
        <v>7093366</v>
      </c>
      <c r="J20" s="355">
        <v>5250229</v>
      </c>
      <c r="K20" s="355">
        <v>12000</v>
      </c>
      <c r="L20" s="355">
        <v>1778634</v>
      </c>
      <c r="M20" s="355">
        <v>52503</v>
      </c>
      <c r="N20" s="355">
        <v>0</v>
      </c>
      <c r="O20" s="780">
        <v>8.900500000000001</v>
      </c>
      <c r="P20" s="668">
        <f t="shared" ref="P20:AS20" si="7">SUM(P18:P19)</f>
        <v>-8000</v>
      </c>
      <c r="Q20" s="355">
        <f t="shared" si="7"/>
        <v>0</v>
      </c>
      <c r="R20" s="355">
        <f t="shared" si="7"/>
        <v>0</v>
      </c>
      <c r="S20" s="355">
        <f t="shared" si="7"/>
        <v>0</v>
      </c>
      <c r="T20" s="355">
        <f t="shared" si="7"/>
        <v>0</v>
      </c>
      <c r="U20" s="355">
        <f t="shared" si="7"/>
        <v>0</v>
      </c>
      <c r="V20" s="355">
        <f t="shared" si="7"/>
        <v>-8000</v>
      </c>
      <c r="W20" s="355">
        <f t="shared" si="7"/>
        <v>8000</v>
      </c>
      <c r="X20" s="355">
        <f t="shared" si="7"/>
        <v>0</v>
      </c>
      <c r="Y20" s="355">
        <f t="shared" si="7"/>
        <v>0</v>
      </c>
      <c r="Z20" s="355">
        <f t="shared" si="7"/>
        <v>8000</v>
      </c>
      <c r="AA20" s="355">
        <f t="shared" si="7"/>
        <v>0</v>
      </c>
      <c r="AB20" s="355">
        <f t="shared" si="7"/>
        <v>0</v>
      </c>
      <c r="AC20" s="355">
        <f t="shared" si="7"/>
        <v>-80</v>
      </c>
      <c r="AD20" s="355">
        <f t="shared" si="7"/>
        <v>0</v>
      </c>
      <c r="AE20" s="665">
        <f t="shared" si="7"/>
        <v>-80</v>
      </c>
      <c r="AF20" s="793">
        <v>0</v>
      </c>
      <c r="AG20" s="356">
        <f t="shared" si="7"/>
        <v>0</v>
      </c>
      <c r="AH20" s="356">
        <f t="shared" si="7"/>
        <v>0</v>
      </c>
      <c r="AI20" s="356">
        <f t="shared" si="7"/>
        <v>0</v>
      </c>
      <c r="AJ20" s="356">
        <f t="shared" si="7"/>
        <v>0</v>
      </c>
      <c r="AK20" s="356">
        <f t="shared" si="7"/>
        <v>0</v>
      </c>
      <c r="AL20" s="253">
        <f t="shared" si="7"/>
        <v>0</v>
      </c>
      <c r="AM20" s="668">
        <f t="shared" si="7"/>
        <v>7093286</v>
      </c>
      <c r="AN20" s="355">
        <f t="shared" si="7"/>
        <v>5242229</v>
      </c>
      <c r="AO20" s="355">
        <f t="shared" si="7"/>
        <v>20000</v>
      </c>
      <c r="AP20" s="355">
        <f t="shared" si="7"/>
        <v>1778634</v>
      </c>
      <c r="AQ20" s="355">
        <f t="shared" si="7"/>
        <v>52423</v>
      </c>
      <c r="AR20" s="355">
        <f t="shared" si="7"/>
        <v>0</v>
      </c>
      <c r="AS20" s="253">
        <f t="shared" si="7"/>
        <v>8.900500000000001</v>
      </c>
    </row>
    <row r="21" spans="1:45" ht="12.95" customHeight="1" x14ac:dyDescent="0.25">
      <c r="A21" s="205">
        <v>4</v>
      </c>
      <c r="B21" s="246">
        <v>5447</v>
      </c>
      <c r="C21" s="255">
        <v>600099512</v>
      </c>
      <c r="D21" s="206">
        <v>854816</v>
      </c>
      <c r="E21" s="248" t="s">
        <v>341</v>
      </c>
      <c r="F21" s="206">
        <v>3233</v>
      </c>
      <c r="G21" s="248" t="s">
        <v>283</v>
      </c>
      <c r="H21" s="209" t="s">
        <v>263</v>
      </c>
      <c r="I21" s="610">
        <v>2326166</v>
      </c>
      <c r="J21" s="554">
        <v>1710753</v>
      </c>
      <c r="K21" s="554">
        <v>15000</v>
      </c>
      <c r="L21" s="431">
        <v>583305</v>
      </c>
      <c r="M21" s="431">
        <v>17108</v>
      </c>
      <c r="N21" s="325">
        <v>0</v>
      </c>
      <c r="O21" s="718">
        <v>2.89</v>
      </c>
      <c r="P21" s="327">
        <f>W21*-1</f>
        <v>-10000</v>
      </c>
      <c r="Q21" s="492">
        <v>0</v>
      </c>
      <c r="R21" s="325">
        <v>0</v>
      </c>
      <c r="S21" s="325">
        <v>0</v>
      </c>
      <c r="T21" s="325">
        <v>0</v>
      </c>
      <c r="U21" s="325">
        <v>0</v>
      </c>
      <c r="V21" s="492">
        <f>P21+Q21+R21+S21+T21+U21</f>
        <v>-10000</v>
      </c>
      <c r="W21" s="325">
        <v>10000</v>
      </c>
      <c r="X21" s="325">
        <v>0</v>
      </c>
      <c r="Y21" s="325">
        <v>0</v>
      </c>
      <c r="Z21" s="492">
        <f>W21+X21+Y21</f>
        <v>10000</v>
      </c>
      <c r="AA21" s="492">
        <f>V21+Z21</f>
        <v>0</v>
      </c>
      <c r="AB21" s="494">
        <f>ROUND((V21+Z21)*33.8%,0)</f>
        <v>0</v>
      </c>
      <c r="AC21" s="494">
        <f>ROUND(V21*1%,0)</f>
        <v>-100</v>
      </c>
      <c r="AD21" s="492">
        <v>0</v>
      </c>
      <c r="AE21" s="753">
        <f>AA21+AB21+AC21+AD21</f>
        <v>-100</v>
      </c>
      <c r="AF21" s="688">
        <v>0.03</v>
      </c>
      <c r="AG21" s="491">
        <v>0</v>
      </c>
      <c r="AH21" s="326">
        <v>0</v>
      </c>
      <c r="AI21" s="326">
        <v>0</v>
      </c>
      <c r="AJ21" s="326">
        <v>0</v>
      </c>
      <c r="AK21" s="326">
        <v>0</v>
      </c>
      <c r="AL21" s="609">
        <f>SUM(AF21:AK21)</f>
        <v>0.03</v>
      </c>
      <c r="AM21" s="676">
        <f>I21+AE21</f>
        <v>2326066</v>
      </c>
      <c r="AN21" s="492">
        <f>J21+V21</f>
        <v>1700753</v>
      </c>
      <c r="AO21" s="573">
        <f>K21+Z21</f>
        <v>25000</v>
      </c>
      <c r="AP21" s="492">
        <f>L21+AB21</f>
        <v>583305</v>
      </c>
      <c r="AQ21" s="492">
        <f>M21+AC21</f>
        <v>17008</v>
      </c>
      <c r="AR21" s="492">
        <f>N21+AD21</f>
        <v>0</v>
      </c>
      <c r="AS21" s="609">
        <f>O21+AL21</f>
        <v>2.92</v>
      </c>
    </row>
    <row r="22" spans="1:45" ht="12.95" customHeight="1" x14ac:dyDescent="0.25">
      <c r="A22" s="249">
        <v>4</v>
      </c>
      <c r="B22" s="250">
        <v>5447</v>
      </c>
      <c r="C22" s="251">
        <v>600099512</v>
      </c>
      <c r="D22" s="250">
        <v>854816</v>
      </c>
      <c r="E22" s="252" t="s">
        <v>342</v>
      </c>
      <c r="F22" s="216"/>
      <c r="G22" s="254"/>
      <c r="H22" s="217"/>
      <c r="I22" s="668">
        <v>2326166</v>
      </c>
      <c r="J22" s="355">
        <v>1710753</v>
      </c>
      <c r="K22" s="355">
        <v>15000</v>
      </c>
      <c r="L22" s="355">
        <v>583305</v>
      </c>
      <c r="M22" s="355">
        <v>17108</v>
      </c>
      <c r="N22" s="355">
        <v>0</v>
      </c>
      <c r="O22" s="780">
        <v>2.89</v>
      </c>
      <c r="P22" s="668">
        <f t="shared" ref="P22:AS22" si="8">SUM(P21)</f>
        <v>-10000</v>
      </c>
      <c r="Q22" s="355">
        <f t="shared" si="8"/>
        <v>0</v>
      </c>
      <c r="R22" s="355">
        <f t="shared" si="8"/>
        <v>0</v>
      </c>
      <c r="S22" s="355">
        <f t="shared" si="8"/>
        <v>0</v>
      </c>
      <c r="T22" s="355">
        <f t="shared" si="8"/>
        <v>0</v>
      </c>
      <c r="U22" s="355">
        <f t="shared" si="8"/>
        <v>0</v>
      </c>
      <c r="V22" s="355">
        <f t="shared" si="8"/>
        <v>-10000</v>
      </c>
      <c r="W22" s="355">
        <f t="shared" si="8"/>
        <v>10000</v>
      </c>
      <c r="X22" s="355">
        <f t="shared" si="8"/>
        <v>0</v>
      </c>
      <c r="Y22" s="355">
        <f t="shared" si="8"/>
        <v>0</v>
      </c>
      <c r="Z22" s="355">
        <f t="shared" si="8"/>
        <v>10000</v>
      </c>
      <c r="AA22" s="355">
        <f t="shared" si="8"/>
        <v>0</v>
      </c>
      <c r="AB22" s="355">
        <f t="shared" si="8"/>
        <v>0</v>
      </c>
      <c r="AC22" s="355">
        <f t="shared" si="8"/>
        <v>-100</v>
      </c>
      <c r="AD22" s="355">
        <f t="shared" si="8"/>
        <v>0</v>
      </c>
      <c r="AE22" s="665">
        <f t="shared" si="8"/>
        <v>-100</v>
      </c>
      <c r="AF22" s="793">
        <f t="shared" si="8"/>
        <v>0.03</v>
      </c>
      <c r="AG22" s="356">
        <f t="shared" si="8"/>
        <v>0</v>
      </c>
      <c r="AH22" s="356">
        <f t="shared" si="8"/>
        <v>0</v>
      </c>
      <c r="AI22" s="356">
        <f t="shared" si="8"/>
        <v>0</v>
      </c>
      <c r="AJ22" s="356">
        <f t="shared" si="8"/>
        <v>0</v>
      </c>
      <c r="AK22" s="356">
        <f t="shared" si="8"/>
        <v>0</v>
      </c>
      <c r="AL22" s="253">
        <f t="shared" si="8"/>
        <v>0.03</v>
      </c>
      <c r="AM22" s="668">
        <f t="shared" si="8"/>
        <v>2326066</v>
      </c>
      <c r="AN22" s="355">
        <f t="shared" si="8"/>
        <v>1700753</v>
      </c>
      <c r="AO22" s="355">
        <f t="shared" si="8"/>
        <v>25000</v>
      </c>
      <c r="AP22" s="355">
        <f t="shared" si="8"/>
        <v>583305</v>
      </c>
      <c r="AQ22" s="355">
        <f t="shared" si="8"/>
        <v>17008</v>
      </c>
      <c r="AR22" s="355">
        <f t="shared" si="8"/>
        <v>0</v>
      </c>
      <c r="AS22" s="253">
        <f t="shared" si="8"/>
        <v>2.92</v>
      </c>
    </row>
    <row r="23" spans="1:45" ht="12.95" customHeight="1" x14ac:dyDescent="0.25">
      <c r="A23" s="205">
        <v>5</v>
      </c>
      <c r="B23" s="246">
        <v>5444</v>
      </c>
      <c r="C23" s="247">
        <v>600099296</v>
      </c>
      <c r="D23" s="206">
        <v>854824</v>
      </c>
      <c r="E23" s="248" t="s">
        <v>343</v>
      </c>
      <c r="F23" s="206">
        <v>3113</v>
      </c>
      <c r="G23" s="248" t="s">
        <v>294</v>
      </c>
      <c r="H23" s="209" t="s">
        <v>262</v>
      </c>
      <c r="I23" s="610">
        <v>15908651</v>
      </c>
      <c r="J23" s="554">
        <v>11748071</v>
      </c>
      <c r="K23" s="554">
        <v>54000</v>
      </c>
      <c r="L23" s="431">
        <v>3989100</v>
      </c>
      <c r="M23" s="431">
        <v>117480</v>
      </c>
      <c r="N23" s="325">
        <v>0</v>
      </c>
      <c r="O23" s="718">
        <v>15.6386</v>
      </c>
      <c r="P23" s="327">
        <f t="shared" ref="P23:P27" si="9">W23*-1</f>
        <v>-36000</v>
      </c>
      <c r="Q23" s="492">
        <v>0</v>
      </c>
      <c r="R23" s="325">
        <v>0</v>
      </c>
      <c r="S23" s="325">
        <v>0</v>
      </c>
      <c r="T23" s="325">
        <v>0</v>
      </c>
      <c r="U23" s="325">
        <v>0</v>
      </c>
      <c r="V23" s="492">
        <f>P23+Q23+R23+S23+T23+U23</f>
        <v>-36000</v>
      </c>
      <c r="W23" s="325">
        <v>36000</v>
      </c>
      <c r="X23" s="325">
        <v>0</v>
      </c>
      <c r="Y23" s="325">
        <v>0</v>
      </c>
      <c r="Z23" s="492">
        <f>W23+X23+Y23</f>
        <v>36000</v>
      </c>
      <c r="AA23" s="492">
        <f>V23+Z23</f>
        <v>0</v>
      </c>
      <c r="AB23" s="494">
        <f>ROUND((V23+Z23)*33.8%,0)</f>
        <v>0</v>
      </c>
      <c r="AC23" s="494">
        <f>ROUND(V23*1%,0)</f>
        <v>-360</v>
      </c>
      <c r="AD23" s="492">
        <v>0</v>
      </c>
      <c r="AE23" s="753">
        <f t="shared" ref="AE23:AE27" si="10">AA23+AB23+AC23+AD23</f>
        <v>-360</v>
      </c>
      <c r="AF23" s="688">
        <v>-2.0000000000000004E-2</v>
      </c>
      <c r="AG23" s="491">
        <v>0</v>
      </c>
      <c r="AH23" s="326">
        <v>0</v>
      </c>
      <c r="AI23" s="326">
        <v>0</v>
      </c>
      <c r="AJ23" s="326">
        <v>0</v>
      </c>
      <c r="AK23" s="326">
        <v>0</v>
      </c>
      <c r="AL23" s="609">
        <f>SUM(AF23:AK23)</f>
        <v>-2.0000000000000004E-2</v>
      </c>
      <c r="AM23" s="676">
        <f>I23+AE23</f>
        <v>15908291</v>
      </c>
      <c r="AN23" s="492">
        <f>J23+V23</f>
        <v>11712071</v>
      </c>
      <c r="AO23" s="573">
        <f>K23+Z23</f>
        <v>90000</v>
      </c>
      <c r="AP23" s="492">
        <f t="shared" ref="AP23:AR27" si="11">L23+AB23</f>
        <v>3989100</v>
      </c>
      <c r="AQ23" s="492">
        <f t="shared" si="11"/>
        <v>117120</v>
      </c>
      <c r="AR23" s="492">
        <f t="shared" si="11"/>
        <v>0</v>
      </c>
      <c r="AS23" s="609">
        <f>O23+AL23</f>
        <v>15.618600000000001</v>
      </c>
    </row>
    <row r="24" spans="1:45" ht="12.95" customHeight="1" x14ac:dyDescent="0.25">
      <c r="A24" s="704">
        <v>5</v>
      </c>
      <c r="B24" s="713">
        <v>5444</v>
      </c>
      <c r="C24" s="714">
        <v>600099296</v>
      </c>
      <c r="D24" s="705">
        <v>854824</v>
      </c>
      <c r="E24" s="715" t="s">
        <v>343</v>
      </c>
      <c r="F24" s="705">
        <v>3113</v>
      </c>
      <c r="G24" s="715" t="s">
        <v>810</v>
      </c>
      <c r="H24" s="209" t="s">
        <v>262</v>
      </c>
      <c r="I24" s="580">
        <v>333882</v>
      </c>
      <c r="J24" s="554">
        <v>247687</v>
      </c>
      <c r="K24" s="554">
        <v>0</v>
      </c>
      <c r="L24" s="431">
        <v>83718</v>
      </c>
      <c r="M24" s="431">
        <v>2477</v>
      </c>
      <c r="N24" s="325">
        <v>0</v>
      </c>
      <c r="O24" s="718">
        <v>0.4</v>
      </c>
      <c r="P24" s="327">
        <f>W24*-1</f>
        <v>0</v>
      </c>
      <c r="Q24" s="492">
        <v>0</v>
      </c>
      <c r="R24" s="325">
        <v>0</v>
      </c>
      <c r="S24" s="325">
        <v>0</v>
      </c>
      <c r="T24" s="325">
        <v>0</v>
      </c>
      <c r="U24" s="325">
        <v>0</v>
      </c>
      <c r="V24" s="492">
        <f>P24+Q24+R24+S24+T24+U24</f>
        <v>0</v>
      </c>
      <c r="W24" s="325">
        <v>0</v>
      </c>
      <c r="X24" s="325">
        <v>0</v>
      </c>
      <c r="Y24" s="325">
        <v>0</v>
      </c>
      <c r="Z24" s="492">
        <f>W24+X24+Y24</f>
        <v>0</v>
      </c>
      <c r="AA24" s="492">
        <f>V24+Z24</f>
        <v>0</v>
      </c>
      <c r="AB24" s="494">
        <f>ROUND((V24+Z24)*33.8%,0)</f>
        <v>0</v>
      </c>
      <c r="AC24" s="494">
        <f>ROUND(V24*1%,0)</f>
        <v>0</v>
      </c>
      <c r="AD24" s="492">
        <v>0</v>
      </c>
      <c r="AE24" s="753">
        <f>AA24+AB24+AC24+AD24</f>
        <v>0</v>
      </c>
      <c r="AF24" s="688">
        <v>0</v>
      </c>
      <c r="AG24" s="491">
        <v>0</v>
      </c>
      <c r="AH24" s="326">
        <v>0</v>
      </c>
      <c r="AI24" s="326">
        <v>0</v>
      </c>
      <c r="AJ24" s="326">
        <v>0</v>
      </c>
      <c r="AK24" s="326">
        <v>0</v>
      </c>
      <c r="AL24" s="609">
        <f>SUM(AF24:AK24)</f>
        <v>0</v>
      </c>
      <c r="AM24" s="676">
        <f>I24+AE24</f>
        <v>333882</v>
      </c>
      <c r="AN24" s="492">
        <f>J24+V24</f>
        <v>247687</v>
      </c>
      <c r="AO24" s="573">
        <f>K24+Z24</f>
        <v>0</v>
      </c>
      <c r="AP24" s="492">
        <f t="shared" si="11"/>
        <v>83718</v>
      </c>
      <c r="AQ24" s="492">
        <f t="shared" si="11"/>
        <v>2477</v>
      </c>
      <c r="AR24" s="492">
        <f t="shared" si="11"/>
        <v>0</v>
      </c>
      <c r="AS24" s="609">
        <f>O24+AL24</f>
        <v>0.4</v>
      </c>
    </row>
    <row r="25" spans="1:45" ht="12.95" customHeight="1" x14ac:dyDescent="0.25">
      <c r="A25" s="205">
        <v>5</v>
      </c>
      <c r="B25" s="246">
        <v>5444</v>
      </c>
      <c r="C25" s="247">
        <v>600099296</v>
      </c>
      <c r="D25" s="206">
        <v>854824</v>
      </c>
      <c r="E25" s="248" t="s">
        <v>343</v>
      </c>
      <c r="F25" s="206">
        <v>3113</v>
      </c>
      <c r="G25" s="248" t="s">
        <v>284</v>
      </c>
      <c r="H25" s="209" t="s">
        <v>263</v>
      </c>
      <c r="I25" s="580">
        <v>1418830</v>
      </c>
      <c r="J25" s="490">
        <v>948528</v>
      </c>
      <c r="K25" s="554">
        <v>104794</v>
      </c>
      <c r="L25" s="431">
        <v>356023</v>
      </c>
      <c r="M25" s="431">
        <v>9485</v>
      </c>
      <c r="N25" s="325">
        <v>0</v>
      </c>
      <c r="O25" s="719">
        <v>2.4000000000000004</v>
      </c>
      <c r="P25" s="327">
        <f t="shared" si="9"/>
        <v>0</v>
      </c>
      <c r="Q25" s="492">
        <f>44150+19868</f>
        <v>64018</v>
      </c>
      <c r="R25" s="325">
        <v>0</v>
      </c>
      <c r="S25" s="325">
        <v>0</v>
      </c>
      <c r="T25" s="325">
        <v>0</v>
      </c>
      <c r="U25" s="325">
        <v>0</v>
      </c>
      <c r="V25" s="492">
        <f>P25+Q25+R25+S25+T25+U25</f>
        <v>64018</v>
      </c>
      <c r="W25" s="325">
        <v>0</v>
      </c>
      <c r="X25" s="325">
        <v>0</v>
      </c>
      <c r="Y25" s="325">
        <v>0</v>
      </c>
      <c r="Z25" s="492">
        <f>W25+X25+Y25</f>
        <v>0</v>
      </c>
      <c r="AA25" s="492">
        <f>V25+Z25</f>
        <v>64018</v>
      </c>
      <c r="AB25" s="494">
        <f>ROUND((V25+Z25)*33.8%,0)</f>
        <v>21638</v>
      </c>
      <c r="AC25" s="494">
        <f>ROUND(V25*1%,0)</f>
        <v>640</v>
      </c>
      <c r="AD25" s="492">
        <v>0</v>
      </c>
      <c r="AE25" s="753">
        <f t="shared" si="10"/>
        <v>86296</v>
      </c>
      <c r="AF25" s="688">
        <v>0</v>
      </c>
      <c r="AG25" s="491">
        <f>0.08+0.04</f>
        <v>0.12</v>
      </c>
      <c r="AH25" s="326">
        <v>0</v>
      </c>
      <c r="AI25" s="326">
        <v>0</v>
      </c>
      <c r="AJ25" s="326">
        <v>0</v>
      </c>
      <c r="AK25" s="326">
        <v>0</v>
      </c>
      <c r="AL25" s="609">
        <f>SUM(AF25:AK25)</f>
        <v>0.12</v>
      </c>
      <c r="AM25" s="676">
        <f>I25+AE25</f>
        <v>1505126</v>
      </c>
      <c r="AN25" s="492">
        <f>J25+V25</f>
        <v>1012546</v>
      </c>
      <c r="AO25" s="573">
        <f>K25+Z25</f>
        <v>104794</v>
      </c>
      <c r="AP25" s="492">
        <f t="shared" si="11"/>
        <v>377661</v>
      </c>
      <c r="AQ25" s="492">
        <f t="shared" si="11"/>
        <v>10125</v>
      </c>
      <c r="AR25" s="492">
        <f t="shared" si="11"/>
        <v>0</v>
      </c>
      <c r="AS25" s="609">
        <f>O25+AL25</f>
        <v>2.5200000000000005</v>
      </c>
    </row>
    <row r="26" spans="1:45" ht="12.95" customHeight="1" x14ac:dyDescent="0.25">
      <c r="A26" s="205">
        <v>5</v>
      </c>
      <c r="B26" s="246">
        <v>5444</v>
      </c>
      <c r="C26" s="247">
        <v>600099296</v>
      </c>
      <c r="D26" s="206">
        <v>854824</v>
      </c>
      <c r="E26" s="248" t="s">
        <v>343</v>
      </c>
      <c r="F26" s="206">
        <v>3122</v>
      </c>
      <c r="G26" s="248" t="s">
        <v>285</v>
      </c>
      <c r="H26" s="209" t="s">
        <v>262</v>
      </c>
      <c r="I26" s="580">
        <v>10112363</v>
      </c>
      <c r="J26" s="490">
        <v>7147660</v>
      </c>
      <c r="K26" s="554">
        <v>356739</v>
      </c>
      <c r="L26" s="431">
        <v>2536487</v>
      </c>
      <c r="M26" s="431">
        <v>71477</v>
      </c>
      <c r="N26" s="325">
        <v>0</v>
      </c>
      <c r="O26" s="719">
        <v>9.3033000000000001</v>
      </c>
      <c r="P26" s="327">
        <f t="shared" si="9"/>
        <v>-36000</v>
      </c>
      <c r="Q26" s="492">
        <v>0</v>
      </c>
      <c r="R26" s="325">
        <v>0</v>
      </c>
      <c r="S26" s="325">
        <v>0</v>
      </c>
      <c r="T26" s="325">
        <v>0</v>
      </c>
      <c r="U26" s="325">
        <v>0</v>
      </c>
      <c r="V26" s="492">
        <f>P26+Q26+R26+S26+T26+U26</f>
        <v>-36000</v>
      </c>
      <c r="W26" s="325">
        <v>36000</v>
      </c>
      <c r="X26" s="325">
        <v>0</v>
      </c>
      <c r="Y26" s="325">
        <v>0</v>
      </c>
      <c r="Z26" s="492">
        <f>W26+X26+Y26</f>
        <v>36000</v>
      </c>
      <c r="AA26" s="492">
        <f>V26+Z26</f>
        <v>0</v>
      </c>
      <c r="AB26" s="494">
        <f>ROUND((V26+Z26)*33.8%,0)</f>
        <v>0</v>
      </c>
      <c r="AC26" s="494">
        <f>ROUND(V26*1%,0)</f>
        <v>-360</v>
      </c>
      <c r="AD26" s="492">
        <v>0</v>
      </c>
      <c r="AE26" s="753">
        <f t="shared" si="10"/>
        <v>-360</v>
      </c>
      <c r="AF26" s="688">
        <v>-2.0000000000000004E-2</v>
      </c>
      <c r="AG26" s="491">
        <v>0</v>
      </c>
      <c r="AH26" s="326">
        <v>0</v>
      </c>
      <c r="AI26" s="326">
        <v>0</v>
      </c>
      <c r="AJ26" s="326">
        <v>0</v>
      </c>
      <c r="AK26" s="326">
        <v>0</v>
      </c>
      <c r="AL26" s="609">
        <f>SUM(AF26:AK26)</f>
        <v>-2.0000000000000004E-2</v>
      </c>
      <c r="AM26" s="676">
        <f>I26+AE26</f>
        <v>10112003</v>
      </c>
      <c r="AN26" s="492">
        <f>J26+V26</f>
        <v>7111660</v>
      </c>
      <c r="AO26" s="573">
        <f>K26+Z26</f>
        <v>392739</v>
      </c>
      <c r="AP26" s="492">
        <f t="shared" si="11"/>
        <v>2536487</v>
      </c>
      <c r="AQ26" s="492">
        <f t="shared" si="11"/>
        <v>71117</v>
      </c>
      <c r="AR26" s="492">
        <f t="shared" si="11"/>
        <v>0</v>
      </c>
      <c r="AS26" s="609">
        <f>O26+AL26</f>
        <v>9.2833000000000006</v>
      </c>
    </row>
    <row r="27" spans="1:45" ht="12.95" customHeight="1" x14ac:dyDescent="0.25">
      <c r="A27" s="205">
        <v>5</v>
      </c>
      <c r="B27" s="246">
        <v>5444</v>
      </c>
      <c r="C27" s="247">
        <v>600099296</v>
      </c>
      <c r="D27" s="206">
        <v>854824</v>
      </c>
      <c r="E27" s="248" t="s">
        <v>343</v>
      </c>
      <c r="F27" s="206">
        <v>3143</v>
      </c>
      <c r="G27" s="248" t="s">
        <v>794</v>
      </c>
      <c r="H27" s="209" t="s">
        <v>262</v>
      </c>
      <c r="I27" s="580">
        <v>1878836</v>
      </c>
      <c r="J27" s="490">
        <v>1352107</v>
      </c>
      <c r="K27" s="554">
        <v>42000</v>
      </c>
      <c r="L27" s="431">
        <v>471208</v>
      </c>
      <c r="M27" s="431">
        <v>13521</v>
      </c>
      <c r="N27" s="325">
        <v>0</v>
      </c>
      <c r="O27" s="719">
        <v>2.7040999999999999</v>
      </c>
      <c r="P27" s="327">
        <f t="shared" si="9"/>
        <v>-28000</v>
      </c>
      <c r="Q27" s="492">
        <v>0</v>
      </c>
      <c r="R27" s="325">
        <v>0</v>
      </c>
      <c r="S27" s="325">
        <v>0</v>
      </c>
      <c r="T27" s="325">
        <v>0</v>
      </c>
      <c r="U27" s="325">
        <v>0</v>
      </c>
      <c r="V27" s="492">
        <f>P27+Q27+R27+S27+T27+U27</f>
        <v>-28000</v>
      </c>
      <c r="W27" s="325">
        <v>28000</v>
      </c>
      <c r="X27" s="325">
        <v>0</v>
      </c>
      <c r="Y27" s="325">
        <v>0</v>
      </c>
      <c r="Z27" s="492">
        <f>W27+X27+Y27</f>
        <v>28000</v>
      </c>
      <c r="AA27" s="492">
        <f>V27+Z27</f>
        <v>0</v>
      </c>
      <c r="AB27" s="494">
        <f>ROUND((V27+Z27)*33.8%,0)</f>
        <v>0</v>
      </c>
      <c r="AC27" s="494">
        <f>ROUND(V27*1%,0)</f>
        <v>-280</v>
      </c>
      <c r="AD27" s="492">
        <v>0</v>
      </c>
      <c r="AE27" s="753">
        <f t="shared" si="10"/>
        <v>-280</v>
      </c>
      <c r="AF27" s="688">
        <v>-0.02</v>
      </c>
      <c r="AG27" s="491">
        <v>0</v>
      </c>
      <c r="AH27" s="326">
        <v>0</v>
      </c>
      <c r="AI27" s="326">
        <v>0</v>
      </c>
      <c r="AJ27" s="326">
        <v>0</v>
      </c>
      <c r="AK27" s="326">
        <v>0</v>
      </c>
      <c r="AL27" s="609">
        <f>SUM(AF27:AK27)</f>
        <v>-0.02</v>
      </c>
      <c r="AM27" s="676">
        <f>I27+AE27</f>
        <v>1878556</v>
      </c>
      <c r="AN27" s="492">
        <f>J27+V27</f>
        <v>1324107</v>
      </c>
      <c r="AO27" s="573">
        <f>K27+Z27</f>
        <v>70000</v>
      </c>
      <c r="AP27" s="492">
        <f t="shared" si="11"/>
        <v>471208</v>
      </c>
      <c r="AQ27" s="492">
        <f t="shared" si="11"/>
        <v>13241</v>
      </c>
      <c r="AR27" s="492">
        <f t="shared" si="11"/>
        <v>0</v>
      </c>
      <c r="AS27" s="609">
        <f>O27+AL27</f>
        <v>2.6840999999999999</v>
      </c>
    </row>
    <row r="28" spans="1:45" ht="12.95" customHeight="1" x14ac:dyDescent="0.25">
      <c r="A28" s="249">
        <v>5</v>
      </c>
      <c r="B28" s="250">
        <v>5444</v>
      </c>
      <c r="C28" s="251">
        <v>600099296</v>
      </c>
      <c r="D28" s="250">
        <v>854824</v>
      </c>
      <c r="E28" s="252" t="s">
        <v>344</v>
      </c>
      <c r="F28" s="216"/>
      <c r="G28" s="254"/>
      <c r="H28" s="217"/>
      <c r="I28" s="668">
        <v>29652562</v>
      </c>
      <c r="J28" s="355">
        <v>21444053</v>
      </c>
      <c r="K28" s="355">
        <v>557533</v>
      </c>
      <c r="L28" s="355">
        <v>7436536</v>
      </c>
      <c r="M28" s="355">
        <v>214440</v>
      </c>
      <c r="N28" s="355">
        <v>0</v>
      </c>
      <c r="O28" s="780">
        <v>30.446000000000002</v>
      </c>
      <c r="P28" s="668">
        <f t="shared" ref="P28:AS28" si="12">SUM(P23:P27)</f>
        <v>-100000</v>
      </c>
      <c r="Q28" s="355">
        <f t="shared" si="12"/>
        <v>64018</v>
      </c>
      <c r="R28" s="355">
        <f t="shared" si="12"/>
        <v>0</v>
      </c>
      <c r="S28" s="355">
        <f t="shared" si="12"/>
        <v>0</v>
      </c>
      <c r="T28" s="355">
        <f t="shared" si="12"/>
        <v>0</v>
      </c>
      <c r="U28" s="355">
        <f t="shared" si="12"/>
        <v>0</v>
      </c>
      <c r="V28" s="355">
        <f t="shared" si="12"/>
        <v>-35982</v>
      </c>
      <c r="W28" s="355">
        <f t="shared" si="12"/>
        <v>100000</v>
      </c>
      <c r="X28" s="355">
        <f t="shared" si="12"/>
        <v>0</v>
      </c>
      <c r="Y28" s="355">
        <f t="shared" si="12"/>
        <v>0</v>
      </c>
      <c r="Z28" s="355">
        <f t="shared" si="12"/>
        <v>100000</v>
      </c>
      <c r="AA28" s="355">
        <f t="shared" si="12"/>
        <v>64018</v>
      </c>
      <c r="AB28" s="355">
        <f t="shared" si="12"/>
        <v>21638</v>
      </c>
      <c r="AC28" s="355">
        <f t="shared" si="12"/>
        <v>-360</v>
      </c>
      <c r="AD28" s="355">
        <f t="shared" si="12"/>
        <v>0</v>
      </c>
      <c r="AE28" s="665">
        <f t="shared" si="12"/>
        <v>85296</v>
      </c>
      <c r="AF28" s="793">
        <f t="shared" si="12"/>
        <v>-6.0000000000000012E-2</v>
      </c>
      <c r="AG28" s="356">
        <f t="shared" si="12"/>
        <v>0.12</v>
      </c>
      <c r="AH28" s="356">
        <f t="shared" si="12"/>
        <v>0</v>
      </c>
      <c r="AI28" s="356">
        <f t="shared" si="12"/>
        <v>0</v>
      </c>
      <c r="AJ28" s="356">
        <f t="shared" si="12"/>
        <v>0</v>
      </c>
      <c r="AK28" s="356">
        <f t="shared" si="12"/>
        <v>0</v>
      </c>
      <c r="AL28" s="253">
        <f t="shared" si="12"/>
        <v>5.9999999999999984E-2</v>
      </c>
      <c r="AM28" s="668">
        <f t="shared" si="12"/>
        <v>29737858</v>
      </c>
      <c r="AN28" s="355">
        <f t="shared" si="12"/>
        <v>21408071</v>
      </c>
      <c r="AO28" s="355">
        <f t="shared" si="12"/>
        <v>657533</v>
      </c>
      <c r="AP28" s="355">
        <f t="shared" si="12"/>
        <v>7458174</v>
      </c>
      <c r="AQ28" s="355">
        <f t="shared" si="12"/>
        <v>214080</v>
      </c>
      <c r="AR28" s="355">
        <f t="shared" si="12"/>
        <v>0</v>
      </c>
      <c r="AS28" s="253">
        <f t="shared" si="12"/>
        <v>30.506</v>
      </c>
    </row>
    <row r="29" spans="1:45" ht="12.95" customHeight="1" x14ac:dyDescent="0.25">
      <c r="A29" s="205">
        <v>6</v>
      </c>
      <c r="B29" s="246">
        <v>5449</v>
      </c>
      <c r="C29" s="247">
        <v>600099458</v>
      </c>
      <c r="D29" s="206">
        <v>70188408</v>
      </c>
      <c r="E29" s="248" t="s">
        <v>345</v>
      </c>
      <c r="F29" s="206">
        <v>3114</v>
      </c>
      <c r="G29" s="256" t="s">
        <v>511</v>
      </c>
      <c r="H29" s="209" t="s">
        <v>262</v>
      </c>
      <c r="I29" s="610">
        <v>13504066</v>
      </c>
      <c r="J29" s="554">
        <v>9970209</v>
      </c>
      <c r="K29" s="554">
        <v>48000</v>
      </c>
      <c r="L29" s="431">
        <v>3386154</v>
      </c>
      <c r="M29" s="431">
        <v>99703</v>
      </c>
      <c r="N29" s="325">
        <v>0</v>
      </c>
      <c r="O29" s="718">
        <v>12.040799999999999</v>
      </c>
      <c r="P29" s="327">
        <f>W29*-1</f>
        <v>-32000</v>
      </c>
      <c r="Q29" s="492">
        <v>0</v>
      </c>
      <c r="R29" s="325">
        <v>0</v>
      </c>
      <c r="S29" s="325">
        <v>0</v>
      </c>
      <c r="T29" s="325">
        <v>0</v>
      </c>
      <c r="U29" s="325">
        <v>0</v>
      </c>
      <c r="V29" s="492">
        <f>P29+Q29+R29+S29+T29+U29</f>
        <v>-32000</v>
      </c>
      <c r="W29" s="325">
        <v>32000</v>
      </c>
      <c r="X29" s="325">
        <v>0</v>
      </c>
      <c r="Y29" s="325">
        <v>0</v>
      </c>
      <c r="Z29" s="492">
        <f>W29+X29+Y29</f>
        <v>32000</v>
      </c>
      <c r="AA29" s="492">
        <f>V29+Z29</f>
        <v>0</v>
      </c>
      <c r="AB29" s="494">
        <f>ROUND((V29+Z29)*33.8%,0)</f>
        <v>0</v>
      </c>
      <c r="AC29" s="494">
        <f>ROUND(V29*1%,0)</f>
        <v>-320</v>
      </c>
      <c r="AD29" s="492">
        <v>0</v>
      </c>
      <c r="AE29" s="753">
        <f t="shared" ref="AE29:AE32" si="13">AA29+AB29+AC29+AD29</f>
        <v>-320</v>
      </c>
      <c r="AF29" s="688">
        <v>-0.03</v>
      </c>
      <c r="AG29" s="491">
        <v>0</v>
      </c>
      <c r="AH29" s="326">
        <v>0</v>
      </c>
      <c r="AI29" s="326">
        <v>0</v>
      </c>
      <c r="AJ29" s="326">
        <v>0</v>
      </c>
      <c r="AK29" s="326">
        <v>0</v>
      </c>
      <c r="AL29" s="609">
        <f>SUM(AF29:AK29)</f>
        <v>-0.03</v>
      </c>
      <c r="AM29" s="676">
        <f>I29+AE29</f>
        <v>13503746</v>
      </c>
      <c r="AN29" s="492">
        <f>J29+V29</f>
        <v>9938209</v>
      </c>
      <c r="AO29" s="573">
        <f>K29+Z29</f>
        <v>80000</v>
      </c>
      <c r="AP29" s="492">
        <f t="shared" ref="AP29:AR32" si="14">L29+AB29</f>
        <v>3386154</v>
      </c>
      <c r="AQ29" s="492">
        <f t="shared" si="14"/>
        <v>99383</v>
      </c>
      <c r="AR29" s="492">
        <f t="shared" si="14"/>
        <v>0</v>
      </c>
      <c r="AS29" s="609">
        <f>O29+AL29</f>
        <v>12.0108</v>
      </c>
    </row>
    <row r="30" spans="1:45" ht="12.95" customHeight="1" x14ac:dyDescent="0.25">
      <c r="A30" s="205">
        <v>6</v>
      </c>
      <c r="B30" s="246">
        <v>5449</v>
      </c>
      <c r="C30" s="247">
        <v>600099458</v>
      </c>
      <c r="D30" s="206">
        <v>70188408</v>
      </c>
      <c r="E30" s="248" t="s">
        <v>345</v>
      </c>
      <c r="F30" s="206">
        <v>3114</v>
      </c>
      <c r="G30" s="256" t="s">
        <v>279</v>
      </c>
      <c r="H30" s="209" t="s">
        <v>262</v>
      </c>
      <c r="I30" s="580">
        <v>2535248</v>
      </c>
      <c r="J30" s="490">
        <v>1868837</v>
      </c>
      <c r="K30" s="554">
        <v>12000</v>
      </c>
      <c r="L30" s="431">
        <v>635723</v>
      </c>
      <c r="M30" s="431">
        <v>18688</v>
      </c>
      <c r="N30" s="325">
        <v>0</v>
      </c>
      <c r="O30" s="719">
        <v>4.3231999999999999</v>
      </c>
      <c r="P30" s="327">
        <f>W30*-1</f>
        <v>-8000</v>
      </c>
      <c r="Q30" s="492">
        <v>0</v>
      </c>
      <c r="R30" s="325">
        <v>0</v>
      </c>
      <c r="S30" s="325">
        <v>0</v>
      </c>
      <c r="T30" s="325">
        <v>0</v>
      </c>
      <c r="U30" s="325">
        <v>0</v>
      </c>
      <c r="V30" s="492">
        <f>P30+Q30+R30+S30+T30+U30</f>
        <v>-8000</v>
      </c>
      <c r="W30" s="325">
        <v>8000</v>
      </c>
      <c r="X30" s="325">
        <v>0</v>
      </c>
      <c r="Y30" s="325">
        <v>0</v>
      </c>
      <c r="Z30" s="492">
        <f>W30+X30+Y30</f>
        <v>8000</v>
      </c>
      <c r="AA30" s="492">
        <f>V30+Z30</f>
        <v>0</v>
      </c>
      <c r="AB30" s="494">
        <f>ROUND((V30+Z30)*33.8%,0)</f>
        <v>0</v>
      </c>
      <c r="AC30" s="494">
        <f>ROUND(V30*1%,0)</f>
        <v>-80</v>
      </c>
      <c r="AD30" s="492">
        <v>0</v>
      </c>
      <c r="AE30" s="753">
        <f t="shared" si="13"/>
        <v>-80</v>
      </c>
      <c r="AF30" s="688">
        <v>0</v>
      </c>
      <c r="AG30" s="491">
        <v>0</v>
      </c>
      <c r="AH30" s="326">
        <v>0</v>
      </c>
      <c r="AI30" s="326">
        <v>0</v>
      </c>
      <c r="AJ30" s="326">
        <v>0</v>
      </c>
      <c r="AK30" s="326">
        <v>0</v>
      </c>
      <c r="AL30" s="609">
        <f>SUM(AF30:AK30)</f>
        <v>0</v>
      </c>
      <c r="AM30" s="676">
        <f>I30+AE30</f>
        <v>2535168</v>
      </c>
      <c r="AN30" s="492">
        <f>J30+V30</f>
        <v>1860837</v>
      </c>
      <c r="AO30" s="573">
        <f>K30+Z30</f>
        <v>20000</v>
      </c>
      <c r="AP30" s="492">
        <f t="shared" si="14"/>
        <v>635723</v>
      </c>
      <c r="AQ30" s="492">
        <f t="shared" si="14"/>
        <v>18608</v>
      </c>
      <c r="AR30" s="492">
        <f t="shared" si="14"/>
        <v>0</v>
      </c>
      <c r="AS30" s="609">
        <f>O30+AL30</f>
        <v>4.3231999999999999</v>
      </c>
    </row>
    <row r="31" spans="1:45" ht="12.95" customHeight="1" x14ac:dyDescent="0.25">
      <c r="A31" s="205">
        <v>6</v>
      </c>
      <c r="B31" s="246">
        <v>5449</v>
      </c>
      <c r="C31" s="247">
        <v>600099458</v>
      </c>
      <c r="D31" s="206">
        <v>70188408</v>
      </c>
      <c r="E31" s="248" t="s">
        <v>345</v>
      </c>
      <c r="F31" s="206">
        <v>3143</v>
      </c>
      <c r="G31" s="248" t="s">
        <v>795</v>
      </c>
      <c r="H31" s="209" t="s">
        <v>262</v>
      </c>
      <c r="I31" s="580">
        <v>549504</v>
      </c>
      <c r="J31" s="490">
        <v>407644</v>
      </c>
      <c r="K31" s="554">
        <v>0</v>
      </c>
      <c r="L31" s="431">
        <v>137784</v>
      </c>
      <c r="M31" s="431">
        <v>4076</v>
      </c>
      <c r="N31" s="325">
        <v>0</v>
      </c>
      <c r="O31" s="719">
        <v>0.83</v>
      </c>
      <c r="P31" s="327">
        <f>W31*-1</f>
        <v>0</v>
      </c>
      <c r="Q31" s="492">
        <v>0</v>
      </c>
      <c r="R31" s="325">
        <v>0</v>
      </c>
      <c r="S31" s="325">
        <v>0</v>
      </c>
      <c r="T31" s="325">
        <v>0</v>
      </c>
      <c r="U31" s="325">
        <v>0</v>
      </c>
      <c r="V31" s="492">
        <f>P31+Q31+R31+S31+T31+U31</f>
        <v>0</v>
      </c>
      <c r="W31" s="325">
        <v>0</v>
      </c>
      <c r="X31" s="325">
        <v>0</v>
      </c>
      <c r="Y31" s="325">
        <v>0</v>
      </c>
      <c r="Z31" s="492">
        <f>W31+X31+Y31</f>
        <v>0</v>
      </c>
      <c r="AA31" s="492">
        <f>V31+Z31</f>
        <v>0</v>
      </c>
      <c r="AB31" s="494">
        <f>ROUND((V31+Z31)*33.8%,0)</f>
        <v>0</v>
      </c>
      <c r="AC31" s="494">
        <f>ROUND(V31*1%,0)</f>
        <v>0</v>
      </c>
      <c r="AD31" s="492">
        <v>0</v>
      </c>
      <c r="AE31" s="753">
        <f t="shared" si="13"/>
        <v>0</v>
      </c>
      <c r="AF31" s="688">
        <v>0</v>
      </c>
      <c r="AG31" s="491">
        <v>0</v>
      </c>
      <c r="AH31" s="326">
        <v>0</v>
      </c>
      <c r="AI31" s="326">
        <v>0</v>
      </c>
      <c r="AJ31" s="326">
        <v>0</v>
      </c>
      <c r="AK31" s="326">
        <v>0</v>
      </c>
      <c r="AL31" s="609">
        <f>SUM(AF31:AK31)</f>
        <v>0</v>
      </c>
      <c r="AM31" s="676">
        <f>I31+AE31</f>
        <v>549504</v>
      </c>
      <c r="AN31" s="492">
        <f>J31+V31</f>
        <v>407644</v>
      </c>
      <c r="AO31" s="573">
        <f>K31+Z31</f>
        <v>0</v>
      </c>
      <c r="AP31" s="492">
        <f t="shared" si="14"/>
        <v>137784</v>
      </c>
      <c r="AQ31" s="492">
        <f t="shared" si="14"/>
        <v>4076</v>
      </c>
      <c r="AR31" s="492">
        <f t="shared" si="14"/>
        <v>0</v>
      </c>
      <c r="AS31" s="609">
        <f>O31+AL31</f>
        <v>0.83</v>
      </c>
    </row>
    <row r="32" spans="1:45" ht="12.95" customHeight="1" x14ac:dyDescent="0.25">
      <c r="A32" s="205">
        <v>6</v>
      </c>
      <c r="B32" s="246">
        <v>5449</v>
      </c>
      <c r="C32" s="247">
        <v>600099458</v>
      </c>
      <c r="D32" s="206">
        <v>70188408</v>
      </c>
      <c r="E32" s="248" t="s">
        <v>345</v>
      </c>
      <c r="F32" s="206">
        <v>3143</v>
      </c>
      <c r="G32" s="248" t="s">
        <v>741</v>
      </c>
      <c r="H32" s="209" t="s">
        <v>262</v>
      </c>
      <c r="I32" s="580">
        <v>225936</v>
      </c>
      <c r="J32" s="490">
        <v>167608</v>
      </c>
      <c r="K32" s="554">
        <v>0</v>
      </c>
      <c r="L32" s="431">
        <v>56652</v>
      </c>
      <c r="M32" s="431">
        <v>1676</v>
      </c>
      <c r="N32" s="325">
        <v>0</v>
      </c>
      <c r="O32" s="719">
        <v>0.42</v>
      </c>
      <c r="P32" s="327">
        <f>W32*-1</f>
        <v>0</v>
      </c>
      <c r="Q32" s="492">
        <v>0</v>
      </c>
      <c r="R32" s="325">
        <v>0</v>
      </c>
      <c r="S32" s="325">
        <v>0</v>
      </c>
      <c r="T32" s="325">
        <v>0</v>
      </c>
      <c r="U32" s="325">
        <v>0</v>
      </c>
      <c r="V32" s="492">
        <f>P32+Q32+R32+S32+T32+U32</f>
        <v>0</v>
      </c>
      <c r="W32" s="325">
        <v>0</v>
      </c>
      <c r="X32" s="325">
        <v>0</v>
      </c>
      <c r="Y32" s="325">
        <v>0</v>
      </c>
      <c r="Z32" s="492">
        <f>W32+X32+Y32</f>
        <v>0</v>
      </c>
      <c r="AA32" s="492">
        <f>V32+Z32</f>
        <v>0</v>
      </c>
      <c r="AB32" s="494">
        <f>ROUND((V32+Z32)*33.8%,0)</f>
        <v>0</v>
      </c>
      <c r="AC32" s="494">
        <f>ROUND(V32*1%,0)</f>
        <v>0</v>
      </c>
      <c r="AD32" s="492">
        <v>0</v>
      </c>
      <c r="AE32" s="753">
        <f t="shared" si="13"/>
        <v>0</v>
      </c>
      <c r="AF32" s="688">
        <v>0</v>
      </c>
      <c r="AG32" s="491">
        <v>0</v>
      </c>
      <c r="AH32" s="326">
        <v>0</v>
      </c>
      <c r="AI32" s="326">
        <v>0</v>
      </c>
      <c r="AJ32" s="326">
        <v>0</v>
      </c>
      <c r="AK32" s="326">
        <v>0</v>
      </c>
      <c r="AL32" s="609">
        <f>SUM(AF32:AK32)</f>
        <v>0</v>
      </c>
      <c r="AM32" s="676">
        <f>I32+AE32</f>
        <v>225936</v>
      </c>
      <c r="AN32" s="492">
        <f>J32+V32</f>
        <v>167608</v>
      </c>
      <c r="AO32" s="573">
        <f>K32+Z32</f>
        <v>0</v>
      </c>
      <c r="AP32" s="492">
        <f t="shared" si="14"/>
        <v>56652</v>
      </c>
      <c r="AQ32" s="492">
        <f t="shared" si="14"/>
        <v>1676</v>
      </c>
      <c r="AR32" s="492">
        <f t="shared" si="14"/>
        <v>0</v>
      </c>
      <c r="AS32" s="609">
        <f>O32+AL32</f>
        <v>0.42</v>
      </c>
    </row>
    <row r="33" spans="1:45" ht="12.95" customHeight="1" x14ac:dyDescent="0.25">
      <c r="A33" s="249">
        <v>6</v>
      </c>
      <c r="B33" s="250">
        <v>5449</v>
      </c>
      <c r="C33" s="251">
        <v>600099458</v>
      </c>
      <c r="D33" s="250">
        <v>70188408</v>
      </c>
      <c r="E33" s="252" t="s">
        <v>346</v>
      </c>
      <c r="F33" s="216"/>
      <c r="G33" s="254"/>
      <c r="H33" s="217"/>
      <c r="I33" s="668">
        <v>16814754</v>
      </c>
      <c r="J33" s="355">
        <v>12414298</v>
      </c>
      <c r="K33" s="355">
        <v>60000</v>
      </c>
      <c r="L33" s="355">
        <v>4216313</v>
      </c>
      <c r="M33" s="355">
        <v>124143</v>
      </c>
      <c r="N33" s="355">
        <v>0</v>
      </c>
      <c r="O33" s="780">
        <v>17.613999999999997</v>
      </c>
      <c r="P33" s="668">
        <f t="shared" ref="P33:AS33" si="15">SUM(P29:P32)</f>
        <v>-40000</v>
      </c>
      <c r="Q33" s="355">
        <f t="shared" si="15"/>
        <v>0</v>
      </c>
      <c r="R33" s="355">
        <f t="shared" si="15"/>
        <v>0</v>
      </c>
      <c r="S33" s="355">
        <f t="shared" si="15"/>
        <v>0</v>
      </c>
      <c r="T33" s="355">
        <f t="shared" si="15"/>
        <v>0</v>
      </c>
      <c r="U33" s="355">
        <f t="shared" si="15"/>
        <v>0</v>
      </c>
      <c r="V33" s="355">
        <f t="shared" si="15"/>
        <v>-40000</v>
      </c>
      <c r="W33" s="355">
        <f t="shared" si="15"/>
        <v>40000</v>
      </c>
      <c r="X33" s="355">
        <f t="shared" si="15"/>
        <v>0</v>
      </c>
      <c r="Y33" s="355">
        <f t="shared" si="15"/>
        <v>0</v>
      </c>
      <c r="Z33" s="355">
        <f t="shared" si="15"/>
        <v>40000</v>
      </c>
      <c r="AA33" s="355">
        <f t="shared" si="15"/>
        <v>0</v>
      </c>
      <c r="AB33" s="355">
        <f t="shared" si="15"/>
        <v>0</v>
      </c>
      <c r="AC33" s="355">
        <f t="shared" si="15"/>
        <v>-400</v>
      </c>
      <c r="AD33" s="355">
        <f t="shared" si="15"/>
        <v>0</v>
      </c>
      <c r="AE33" s="665">
        <f t="shared" si="15"/>
        <v>-400</v>
      </c>
      <c r="AF33" s="793">
        <f t="shared" si="15"/>
        <v>-0.03</v>
      </c>
      <c r="AG33" s="356">
        <f t="shared" si="15"/>
        <v>0</v>
      </c>
      <c r="AH33" s="356">
        <f t="shared" si="15"/>
        <v>0</v>
      </c>
      <c r="AI33" s="356">
        <f t="shared" si="15"/>
        <v>0</v>
      </c>
      <c r="AJ33" s="356">
        <f t="shared" si="15"/>
        <v>0</v>
      </c>
      <c r="AK33" s="356">
        <f t="shared" si="15"/>
        <v>0</v>
      </c>
      <c r="AL33" s="253">
        <f t="shared" si="15"/>
        <v>-0.03</v>
      </c>
      <c r="AM33" s="668">
        <f t="shared" si="15"/>
        <v>16814354</v>
      </c>
      <c r="AN33" s="355">
        <f t="shared" si="15"/>
        <v>12374298</v>
      </c>
      <c r="AO33" s="355">
        <f t="shared" si="15"/>
        <v>100000</v>
      </c>
      <c r="AP33" s="355">
        <f t="shared" si="15"/>
        <v>4216313</v>
      </c>
      <c r="AQ33" s="355">
        <f t="shared" si="15"/>
        <v>123743</v>
      </c>
      <c r="AR33" s="355">
        <f t="shared" si="15"/>
        <v>0</v>
      </c>
      <c r="AS33" s="253">
        <f t="shared" si="15"/>
        <v>17.584</v>
      </c>
    </row>
    <row r="34" spans="1:45" ht="12.95" customHeight="1" x14ac:dyDescent="0.25">
      <c r="A34" s="205">
        <v>7</v>
      </c>
      <c r="B34" s="246">
        <v>5443</v>
      </c>
      <c r="C34" s="247">
        <v>600099237</v>
      </c>
      <c r="D34" s="206">
        <v>854841</v>
      </c>
      <c r="E34" s="248" t="s">
        <v>347</v>
      </c>
      <c r="F34" s="206">
        <v>3113</v>
      </c>
      <c r="G34" s="248" t="s">
        <v>294</v>
      </c>
      <c r="H34" s="209" t="s">
        <v>262</v>
      </c>
      <c r="I34" s="610">
        <v>19116950</v>
      </c>
      <c r="J34" s="554">
        <v>14181714</v>
      </c>
      <c r="K34" s="554">
        <v>0</v>
      </c>
      <c r="L34" s="431">
        <v>4793419</v>
      </c>
      <c r="M34" s="431">
        <v>141817</v>
      </c>
      <c r="N34" s="325">
        <v>0</v>
      </c>
      <c r="O34" s="718">
        <v>20.227399999999999</v>
      </c>
      <c r="P34" s="327">
        <f>W34*-1</f>
        <v>0</v>
      </c>
      <c r="Q34" s="492">
        <v>0</v>
      </c>
      <c r="R34" s="325">
        <v>0</v>
      </c>
      <c r="S34" s="325">
        <v>0</v>
      </c>
      <c r="T34" s="325">
        <v>0</v>
      </c>
      <c r="U34" s="325">
        <v>0</v>
      </c>
      <c r="V34" s="492">
        <f>P34+Q34+R34+S34+T34+U34</f>
        <v>0</v>
      </c>
      <c r="W34" s="470">
        <v>0</v>
      </c>
      <c r="X34" s="470">
        <v>0</v>
      </c>
      <c r="Y34" s="325">
        <v>116001</v>
      </c>
      <c r="Z34" s="492">
        <f>W34+X34+Y34</f>
        <v>116001</v>
      </c>
      <c r="AA34" s="492">
        <f>V34+Z34</f>
        <v>116001</v>
      </c>
      <c r="AB34" s="494">
        <f>ROUND((V34+Z34)*33.8%,0)</f>
        <v>39208</v>
      </c>
      <c r="AC34" s="494">
        <f>ROUND(V34*1%,0)</f>
        <v>0</v>
      </c>
      <c r="AD34" s="492">
        <v>0</v>
      </c>
      <c r="AE34" s="753">
        <f t="shared" ref="AE34:AE37" si="16">AA34+AB34+AC34+AD34</f>
        <v>155209</v>
      </c>
      <c r="AF34" s="688">
        <v>0</v>
      </c>
      <c r="AG34" s="491">
        <v>0</v>
      </c>
      <c r="AH34" s="326">
        <v>0</v>
      </c>
      <c r="AI34" s="326">
        <v>0</v>
      </c>
      <c r="AJ34" s="326">
        <v>0</v>
      </c>
      <c r="AK34" s="326">
        <v>0</v>
      </c>
      <c r="AL34" s="609">
        <f>SUM(AF34:AK34)</f>
        <v>0</v>
      </c>
      <c r="AM34" s="676">
        <f>I34+AE34</f>
        <v>19272159</v>
      </c>
      <c r="AN34" s="492">
        <f>J34+V34</f>
        <v>14181714</v>
      </c>
      <c r="AO34" s="573">
        <f>K34+Z34</f>
        <v>116001</v>
      </c>
      <c r="AP34" s="492">
        <f t="shared" ref="AP34:AR37" si="17">L34+AB34</f>
        <v>4832627</v>
      </c>
      <c r="AQ34" s="492">
        <f t="shared" si="17"/>
        <v>141817</v>
      </c>
      <c r="AR34" s="492">
        <f t="shared" si="17"/>
        <v>0</v>
      </c>
      <c r="AS34" s="609">
        <f>O34+AL34</f>
        <v>20.227399999999999</v>
      </c>
    </row>
    <row r="35" spans="1:45" ht="12.95" customHeight="1" x14ac:dyDescent="0.25">
      <c r="A35" s="704">
        <v>7</v>
      </c>
      <c r="B35" s="713">
        <v>5443</v>
      </c>
      <c r="C35" s="714">
        <v>600099237</v>
      </c>
      <c r="D35" s="705">
        <v>854841</v>
      </c>
      <c r="E35" s="715" t="s">
        <v>347</v>
      </c>
      <c r="F35" s="705">
        <v>3113</v>
      </c>
      <c r="G35" s="715" t="s">
        <v>799</v>
      </c>
      <c r="H35" s="209" t="s">
        <v>262</v>
      </c>
      <c r="I35" s="580">
        <v>246226</v>
      </c>
      <c r="J35" s="554">
        <v>182660</v>
      </c>
      <c r="K35" s="554">
        <v>0</v>
      </c>
      <c r="L35" s="431">
        <v>61739</v>
      </c>
      <c r="M35" s="431">
        <v>1827</v>
      </c>
      <c r="N35" s="325">
        <v>0</v>
      </c>
      <c r="O35" s="718">
        <v>0.3</v>
      </c>
      <c r="P35" s="327">
        <f>W35*-1</f>
        <v>0</v>
      </c>
      <c r="Q35" s="492">
        <v>0</v>
      </c>
      <c r="R35" s="325">
        <v>0</v>
      </c>
      <c r="S35" s="325">
        <v>0</v>
      </c>
      <c r="T35" s="325">
        <v>0</v>
      </c>
      <c r="U35" s="325">
        <v>0</v>
      </c>
      <c r="V35" s="492">
        <f>P35+Q35+R35+S35+T35+U35</f>
        <v>0</v>
      </c>
      <c r="W35" s="470">
        <v>0</v>
      </c>
      <c r="X35" s="470">
        <v>0</v>
      </c>
      <c r="Y35" s="325">
        <v>0</v>
      </c>
      <c r="Z35" s="492">
        <f>W35+X35+Y35</f>
        <v>0</v>
      </c>
      <c r="AA35" s="492">
        <f>V35+Z35</f>
        <v>0</v>
      </c>
      <c r="AB35" s="494">
        <f>ROUND((V35+Z35)*33.8%,0)</f>
        <v>0</v>
      </c>
      <c r="AC35" s="494">
        <f>ROUND(V35*1%,0)</f>
        <v>0</v>
      </c>
      <c r="AD35" s="492">
        <v>0</v>
      </c>
      <c r="AE35" s="753">
        <f>AA35+AB35+AC35+AD35</f>
        <v>0</v>
      </c>
      <c r="AF35" s="688">
        <v>0</v>
      </c>
      <c r="AG35" s="491">
        <v>0</v>
      </c>
      <c r="AH35" s="326">
        <v>0</v>
      </c>
      <c r="AI35" s="326">
        <v>0</v>
      </c>
      <c r="AJ35" s="326">
        <v>0</v>
      </c>
      <c r="AK35" s="326">
        <v>0</v>
      </c>
      <c r="AL35" s="609">
        <f>SUM(AF35:AK35)</f>
        <v>0</v>
      </c>
      <c r="AM35" s="676">
        <f>I35+AE35</f>
        <v>246226</v>
      </c>
      <c r="AN35" s="492">
        <f>J35+V35</f>
        <v>182660</v>
      </c>
      <c r="AO35" s="573">
        <f>K35+Z35</f>
        <v>0</v>
      </c>
      <c r="AP35" s="492">
        <f t="shared" si="17"/>
        <v>61739</v>
      </c>
      <c r="AQ35" s="492">
        <f t="shared" si="17"/>
        <v>1827</v>
      </c>
      <c r="AR35" s="492">
        <f t="shared" si="17"/>
        <v>0</v>
      </c>
      <c r="AS35" s="609">
        <f>O35+AL35</f>
        <v>0.3</v>
      </c>
    </row>
    <row r="36" spans="1:45" ht="12.95" customHeight="1" x14ac:dyDescent="0.25">
      <c r="A36" s="205">
        <v>7</v>
      </c>
      <c r="B36" s="246">
        <v>5443</v>
      </c>
      <c r="C36" s="247">
        <v>600099237</v>
      </c>
      <c r="D36" s="206">
        <v>854841</v>
      </c>
      <c r="E36" s="248" t="s">
        <v>347</v>
      </c>
      <c r="F36" s="206">
        <v>3113</v>
      </c>
      <c r="G36" s="248" t="s">
        <v>284</v>
      </c>
      <c r="H36" s="209" t="s">
        <v>263</v>
      </c>
      <c r="I36" s="580">
        <v>3965799</v>
      </c>
      <c r="J36" s="490">
        <v>2941987</v>
      </c>
      <c r="K36" s="554">
        <v>0</v>
      </c>
      <c r="L36" s="431">
        <v>994392</v>
      </c>
      <c r="M36" s="431">
        <v>29420</v>
      </c>
      <c r="N36" s="325">
        <v>0</v>
      </c>
      <c r="O36" s="719">
        <v>6.8</v>
      </c>
      <c r="P36" s="327">
        <f>W36*-1</f>
        <v>0</v>
      </c>
      <c r="Q36" s="492">
        <f>44150+39735</f>
        <v>83885</v>
      </c>
      <c r="R36" s="325">
        <v>0</v>
      </c>
      <c r="S36" s="325">
        <v>0</v>
      </c>
      <c r="T36" s="325">
        <v>0</v>
      </c>
      <c r="U36" s="325">
        <v>0</v>
      </c>
      <c r="V36" s="492">
        <f>P36+Q36+R36+S36+T36+U36</f>
        <v>83885</v>
      </c>
      <c r="W36" s="470">
        <v>0</v>
      </c>
      <c r="X36" s="470">
        <v>0</v>
      </c>
      <c r="Y36" s="325">
        <v>0</v>
      </c>
      <c r="Z36" s="492">
        <f>W36+X36+Y36</f>
        <v>0</v>
      </c>
      <c r="AA36" s="492">
        <f>V36+Z36</f>
        <v>83885</v>
      </c>
      <c r="AB36" s="494">
        <f>ROUND((V36+Z36)*33.8%,0)</f>
        <v>28353</v>
      </c>
      <c r="AC36" s="494">
        <f>ROUND(V36*1%,0)</f>
        <v>839</v>
      </c>
      <c r="AD36" s="492">
        <v>0</v>
      </c>
      <c r="AE36" s="753">
        <f t="shared" si="16"/>
        <v>113077</v>
      </c>
      <c r="AF36" s="688">
        <v>0</v>
      </c>
      <c r="AG36" s="491">
        <f>0.08+0.08</f>
        <v>0.16</v>
      </c>
      <c r="AH36" s="326">
        <v>0</v>
      </c>
      <c r="AI36" s="326">
        <v>0</v>
      </c>
      <c r="AJ36" s="326">
        <v>0</v>
      </c>
      <c r="AK36" s="326">
        <v>0</v>
      </c>
      <c r="AL36" s="609">
        <f>SUM(AF36:AK36)</f>
        <v>0.16</v>
      </c>
      <c r="AM36" s="676">
        <f>I36+AE36</f>
        <v>4078876</v>
      </c>
      <c r="AN36" s="492">
        <f>J36+V36</f>
        <v>3025872</v>
      </c>
      <c r="AO36" s="573">
        <f>K36+Z36</f>
        <v>0</v>
      </c>
      <c r="AP36" s="492">
        <f t="shared" si="17"/>
        <v>1022745</v>
      </c>
      <c r="AQ36" s="492">
        <f t="shared" si="17"/>
        <v>30259</v>
      </c>
      <c r="AR36" s="492">
        <f t="shared" si="17"/>
        <v>0</v>
      </c>
      <c r="AS36" s="609">
        <f>O36+AL36</f>
        <v>6.96</v>
      </c>
    </row>
    <row r="37" spans="1:45" ht="12.95" customHeight="1" x14ac:dyDescent="0.25">
      <c r="A37" s="205">
        <v>7</v>
      </c>
      <c r="B37" s="246">
        <v>5443</v>
      </c>
      <c r="C37" s="247">
        <v>600099237</v>
      </c>
      <c r="D37" s="206">
        <v>854841</v>
      </c>
      <c r="E37" s="248" t="s">
        <v>347</v>
      </c>
      <c r="F37" s="206">
        <v>3143</v>
      </c>
      <c r="G37" s="248" t="s">
        <v>795</v>
      </c>
      <c r="H37" s="209" t="s">
        <v>262</v>
      </c>
      <c r="I37" s="580">
        <v>1518341</v>
      </c>
      <c r="J37" s="490">
        <v>1108499</v>
      </c>
      <c r="K37" s="554">
        <v>18000</v>
      </c>
      <c r="L37" s="431">
        <v>380757</v>
      </c>
      <c r="M37" s="431">
        <v>11085</v>
      </c>
      <c r="N37" s="325">
        <v>0</v>
      </c>
      <c r="O37" s="719">
        <v>2.0166000000000004</v>
      </c>
      <c r="P37" s="327">
        <f>W37*-1</f>
        <v>-12000</v>
      </c>
      <c r="Q37" s="492">
        <v>0</v>
      </c>
      <c r="R37" s="325">
        <v>0</v>
      </c>
      <c r="S37" s="325">
        <v>0</v>
      </c>
      <c r="T37" s="325">
        <v>0</v>
      </c>
      <c r="U37" s="325">
        <v>0</v>
      </c>
      <c r="V37" s="492">
        <f>P37+Q37+R37+S37+T37+U37</f>
        <v>-12000</v>
      </c>
      <c r="W37" s="470">
        <v>12000</v>
      </c>
      <c r="X37" s="470">
        <v>0</v>
      </c>
      <c r="Y37" s="325">
        <v>0</v>
      </c>
      <c r="Z37" s="492">
        <f>W37+X37+Y37</f>
        <v>12000</v>
      </c>
      <c r="AA37" s="492">
        <f>V37+Z37</f>
        <v>0</v>
      </c>
      <c r="AB37" s="494">
        <f>ROUND((V37+Z37)*33.8%,0)</f>
        <v>0</v>
      </c>
      <c r="AC37" s="494">
        <f>ROUND(V37*1%,0)</f>
        <v>-120</v>
      </c>
      <c r="AD37" s="492">
        <v>0</v>
      </c>
      <c r="AE37" s="753">
        <f t="shared" si="16"/>
        <v>-120</v>
      </c>
      <c r="AF37" s="688">
        <v>-2.0000000000000004E-2</v>
      </c>
      <c r="AG37" s="491">
        <v>0</v>
      </c>
      <c r="AH37" s="326">
        <v>0</v>
      </c>
      <c r="AI37" s="326">
        <v>0</v>
      </c>
      <c r="AJ37" s="326">
        <v>0</v>
      </c>
      <c r="AK37" s="326">
        <v>0</v>
      </c>
      <c r="AL37" s="609">
        <f>SUM(AF37:AK37)</f>
        <v>-2.0000000000000004E-2</v>
      </c>
      <c r="AM37" s="676">
        <f>I37+AE37</f>
        <v>1518221</v>
      </c>
      <c r="AN37" s="492">
        <f>J37+V37</f>
        <v>1096499</v>
      </c>
      <c r="AO37" s="573">
        <f>K37+Z37</f>
        <v>30000</v>
      </c>
      <c r="AP37" s="492">
        <f t="shared" si="17"/>
        <v>380757</v>
      </c>
      <c r="AQ37" s="492">
        <f t="shared" si="17"/>
        <v>10965</v>
      </c>
      <c r="AR37" s="492">
        <f t="shared" si="17"/>
        <v>0</v>
      </c>
      <c r="AS37" s="609">
        <f>O37+AL37</f>
        <v>1.9966000000000004</v>
      </c>
    </row>
    <row r="38" spans="1:45" ht="12.95" customHeight="1" x14ac:dyDescent="0.25">
      <c r="A38" s="249">
        <v>7</v>
      </c>
      <c r="B38" s="250">
        <v>5443</v>
      </c>
      <c r="C38" s="257">
        <v>600099237</v>
      </c>
      <c r="D38" s="250">
        <v>854841</v>
      </c>
      <c r="E38" s="252" t="s">
        <v>348</v>
      </c>
      <c r="F38" s="216"/>
      <c r="G38" s="254"/>
      <c r="H38" s="217"/>
      <c r="I38" s="669">
        <v>24847316</v>
      </c>
      <c r="J38" s="357">
        <v>18414860</v>
      </c>
      <c r="K38" s="357">
        <v>18000</v>
      </c>
      <c r="L38" s="357">
        <v>6230307</v>
      </c>
      <c r="M38" s="357">
        <v>184149</v>
      </c>
      <c r="N38" s="357">
        <v>0</v>
      </c>
      <c r="O38" s="798">
        <v>29.344000000000001</v>
      </c>
      <c r="P38" s="669">
        <f t="shared" ref="P38:AS38" si="18">SUM(P34:P37)</f>
        <v>-12000</v>
      </c>
      <c r="Q38" s="357">
        <f t="shared" si="18"/>
        <v>83885</v>
      </c>
      <c r="R38" s="357">
        <f t="shared" si="18"/>
        <v>0</v>
      </c>
      <c r="S38" s="357">
        <f t="shared" si="18"/>
        <v>0</v>
      </c>
      <c r="T38" s="357">
        <f t="shared" si="18"/>
        <v>0</v>
      </c>
      <c r="U38" s="357">
        <f t="shared" si="18"/>
        <v>0</v>
      </c>
      <c r="V38" s="357">
        <f t="shared" si="18"/>
        <v>71885</v>
      </c>
      <c r="W38" s="357">
        <f t="shared" si="18"/>
        <v>12000</v>
      </c>
      <c r="X38" s="357">
        <f t="shared" si="18"/>
        <v>0</v>
      </c>
      <c r="Y38" s="357">
        <f t="shared" si="18"/>
        <v>116001</v>
      </c>
      <c r="Z38" s="357">
        <f t="shared" si="18"/>
        <v>128001</v>
      </c>
      <c r="AA38" s="357">
        <f t="shared" si="18"/>
        <v>199886</v>
      </c>
      <c r="AB38" s="357">
        <f t="shared" si="18"/>
        <v>67561</v>
      </c>
      <c r="AC38" s="357">
        <f t="shared" si="18"/>
        <v>719</v>
      </c>
      <c r="AD38" s="357">
        <f t="shared" si="18"/>
        <v>0</v>
      </c>
      <c r="AE38" s="666">
        <f t="shared" si="18"/>
        <v>268166</v>
      </c>
      <c r="AF38" s="799">
        <f t="shared" si="18"/>
        <v>-2.0000000000000004E-2</v>
      </c>
      <c r="AG38" s="358">
        <f t="shared" si="18"/>
        <v>0.16</v>
      </c>
      <c r="AH38" s="358">
        <f t="shared" si="18"/>
        <v>0</v>
      </c>
      <c r="AI38" s="358">
        <f t="shared" si="18"/>
        <v>0</v>
      </c>
      <c r="AJ38" s="358">
        <f t="shared" si="18"/>
        <v>0</v>
      </c>
      <c r="AK38" s="358">
        <f t="shared" si="18"/>
        <v>0</v>
      </c>
      <c r="AL38" s="258">
        <f t="shared" si="18"/>
        <v>0.14000000000000001</v>
      </c>
      <c r="AM38" s="669">
        <f t="shared" si="18"/>
        <v>25115482</v>
      </c>
      <c r="AN38" s="357">
        <f t="shared" si="18"/>
        <v>18486745</v>
      </c>
      <c r="AO38" s="357">
        <f t="shared" si="18"/>
        <v>146001</v>
      </c>
      <c r="AP38" s="357">
        <f t="shared" si="18"/>
        <v>6297868</v>
      </c>
      <c r="AQ38" s="357">
        <f t="shared" si="18"/>
        <v>184868</v>
      </c>
      <c r="AR38" s="357">
        <f t="shared" si="18"/>
        <v>0</v>
      </c>
      <c r="AS38" s="258">
        <f t="shared" si="18"/>
        <v>29.484000000000002</v>
      </c>
    </row>
    <row r="39" spans="1:45" ht="12.95" customHeight="1" x14ac:dyDescent="0.25">
      <c r="A39" s="205">
        <v>8</v>
      </c>
      <c r="B39" s="246">
        <v>5445</v>
      </c>
      <c r="C39" s="247">
        <v>600099351</v>
      </c>
      <c r="D39" s="206">
        <v>70155771</v>
      </c>
      <c r="E39" s="248" t="s">
        <v>349</v>
      </c>
      <c r="F39" s="206">
        <v>3113</v>
      </c>
      <c r="G39" s="248" t="s">
        <v>294</v>
      </c>
      <c r="H39" s="209" t="s">
        <v>262</v>
      </c>
      <c r="I39" s="610">
        <v>26411426</v>
      </c>
      <c r="J39" s="554">
        <v>19593046</v>
      </c>
      <c r="K39" s="554">
        <v>0</v>
      </c>
      <c r="L39" s="431">
        <v>6622449</v>
      </c>
      <c r="M39" s="431">
        <v>195931</v>
      </c>
      <c r="N39" s="325">
        <v>0</v>
      </c>
      <c r="O39" s="718">
        <v>25.045200000000001</v>
      </c>
      <c r="P39" s="327">
        <f t="shared" ref="P39:P43" si="19">W39*-1</f>
        <v>0</v>
      </c>
      <c r="Q39" s="492">
        <v>0</v>
      </c>
      <c r="R39" s="325">
        <v>0</v>
      </c>
      <c r="S39" s="325">
        <v>0</v>
      </c>
      <c r="T39" s="325">
        <v>0</v>
      </c>
      <c r="U39" s="325">
        <v>0</v>
      </c>
      <c r="V39" s="492">
        <f>P39+Q39+R39+S39+T39+U39</f>
        <v>0</v>
      </c>
      <c r="W39" s="325">
        <v>0</v>
      </c>
      <c r="X39" s="325">
        <v>0</v>
      </c>
      <c r="Y39" s="325">
        <v>0</v>
      </c>
      <c r="Z39" s="492">
        <f>W39+X39+Y39</f>
        <v>0</v>
      </c>
      <c r="AA39" s="492">
        <f>V39+Z39</f>
        <v>0</v>
      </c>
      <c r="AB39" s="494">
        <f>ROUND((V39+Z39)*33.8%,0)</f>
        <v>0</v>
      </c>
      <c r="AC39" s="494">
        <f>ROUND(V39*1%,0)</f>
        <v>0</v>
      </c>
      <c r="AD39" s="492">
        <v>0</v>
      </c>
      <c r="AE39" s="753">
        <f t="shared" ref="AE39:AE43" si="20">AA39+AB39+AC39+AD39</f>
        <v>0</v>
      </c>
      <c r="AF39" s="688">
        <v>0</v>
      </c>
      <c r="AG39" s="491">
        <v>0</v>
      </c>
      <c r="AH39" s="326">
        <v>0</v>
      </c>
      <c r="AI39" s="326">
        <v>0</v>
      </c>
      <c r="AJ39" s="326">
        <v>0</v>
      </c>
      <c r="AK39" s="326">
        <v>0</v>
      </c>
      <c r="AL39" s="609">
        <f>SUM(AF39:AK39)</f>
        <v>0</v>
      </c>
      <c r="AM39" s="676">
        <f>I39+AE39</f>
        <v>26411426</v>
      </c>
      <c r="AN39" s="492">
        <f>J39+V39</f>
        <v>19593046</v>
      </c>
      <c r="AO39" s="573">
        <f>K39+Z39</f>
        <v>0</v>
      </c>
      <c r="AP39" s="492">
        <f t="shared" ref="AP39:AR43" si="21">L39+AB39</f>
        <v>6622449</v>
      </c>
      <c r="AQ39" s="492">
        <f t="shared" si="21"/>
        <v>195931</v>
      </c>
      <c r="AR39" s="492">
        <f t="shared" si="21"/>
        <v>0</v>
      </c>
      <c r="AS39" s="609">
        <f>O39+AL39</f>
        <v>25.045200000000001</v>
      </c>
    </row>
    <row r="40" spans="1:45" ht="12.95" customHeight="1" x14ac:dyDescent="0.25">
      <c r="A40" s="704">
        <v>8</v>
      </c>
      <c r="B40" s="713">
        <v>5445</v>
      </c>
      <c r="C40" s="714">
        <v>600099351</v>
      </c>
      <c r="D40" s="705">
        <v>70155771</v>
      </c>
      <c r="E40" s="715" t="s">
        <v>349</v>
      </c>
      <c r="F40" s="705">
        <v>3113</v>
      </c>
      <c r="G40" s="715" t="s">
        <v>799</v>
      </c>
      <c r="H40" s="209" t="s">
        <v>262</v>
      </c>
      <c r="I40" s="580">
        <v>697517</v>
      </c>
      <c r="J40" s="554">
        <v>517446</v>
      </c>
      <c r="K40" s="554">
        <v>0</v>
      </c>
      <c r="L40" s="431">
        <v>174897</v>
      </c>
      <c r="M40" s="431">
        <v>5174</v>
      </c>
      <c r="N40" s="325">
        <v>0</v>
      </c>
      <c r="O40" s="718">
        <v>0.98180000000000001</v>
      </c>
      <c r="P40" s="327">
        <f>W40*-1</f>
        <v>0</v>
      </c>
      <c r="Q40" s="492">
        <v>0</v>
      </c>
      <c r="R40" s="325">
        <v>0</v>
      </c>
      <c r="S40" s="325">
        <v>0</v>
      </c>
      <c r="T40" s="325">
        <v>0</v>
      </c>
      <c r="U40" s="325">
        <v>0</v>
      </c>
      <c r="V40" s="492">
        <f>P40+Q40+R40+S40+T40+U40</f>
        <v>0</v>
      </c>
      <c r="W40" s="325">
        <v>0</v>
      </c>
      <c r="X40" s="325">
        <v>0</v>
      </c>
      <c r="Y40" s="325">
        <v>0</v>
      </c>
      <c r="Z40" s="492">
        <f>W40+X40+Y40</f>
        <v>0</v>
      </c>
      <c r="AA40" s="492">
        <f>V40+Z40</f>
        <v>0</v>
      </c>
      <c r="AB40" s="494">
        <f>ROUND((V40+Z40)*33.8%,0)</f>
        <v>0</v>
      </c>
      <c r="AC40" s="494">
        <f>ROUND(V40*1%,0)</f>
        <v>0</v>
      </c>
      <c r="AD40" s="492">
        <v>0</v>
      </c>
      <c r="AE40" s="753">
        <f>AA40+AB40+AC40+AD40</f>
        <v>0</v>
      </c>
      <c r="AF40" s="688">
        <v>0</v>
      </c>
      <c r="AG40" s="491">
        <v>0</v>
      </c>
      <c r="AH40" s="326">
        <v>0</v>
      </c>
      <c r="AI40" s="326">
        <v>0</v>
      </c>
      <c r="AJ40" s="326">
        <v>0</v>
      </c>
      <c r="AK40" s="326">
        <v>0</v>
      </c>
      <c r="AL40" s="609">
        <f>SUM(AF40:AK40)</f>
        <v>0</v>
      </c>
      <c r="AM40" s="676">
        <f>I40+AE40</f>
        <v>697517</v>
      </c>
      <c r="AN40" s="492">
        <f>J40+V40</f>
        <v>517446</v>
      </c>
      <c r="AO40" s="573">
        <f>K40+Z40</f>
        <v>0</v>
      </c>
      <c r="AP40" s="492">
        <f t="shared" si="21"/>
        <v>174897</v>
      </c>
      <c r="AQ40" s="492">
        <f t="shared" si="21"/>
        <v>5174</v>
      </c>
      <c r="AR40" s="492">
        <f t="shared" si="21"/>
        <v>0</v>
      </c>
      <c r="AS40" s="609">
        <f>O40+AL40</f>
        <v>0.98180000000000001</v>
      </c>
    </row>
    <row r="41" spans="1:45" ht="12.95" customHeight="1" x14ac:dyDescent="0.25">
      <c r="A41" s="205">
        <v>8</v>
      </c>
      <c r="B41" s="246">
        <v>5445</v>
      </c>
      <c r="C41" s="247">
        <v>600099351</v>
      </c>
      <c r="D41" s="206">
        <v>70155771</v>
      </c>
      <c r="E41" s="248" t="s">
        <v>349</v>
      </c>
      <c r="F41" s="206">
        <v>3113</v>
      </c>
      <c r="G41" s="248" t="s">
        <v>284</v>
      </c>
      <c r="H41" s="209" t="s">
        <v>263</v>
      </c>
      <c r="I41" s="580">
        <v>3515162</v>
      </c>
      <c r="J41" s="490">
        <v>2607687</v>
      </c>
      <c r="K41" s="554">
        <v>0</v>
      </c>
      <c r="L41" s="431">
        <v>881398</v>
      </c>
      <c r="M41" s="431">
        <v>26077</v>
      </c>
      <c r="N41" s="325">
        <v>0</v>
      </c>
      <c r="O41" s="719">
        <v>6.28</v>
      </c>
      <c r="P41" s="327">
        <f t="shared" si="19"/>
        <v>0</v>
      </c>
      <c r="Q41" s="492">
        <f>22075-39735</f>
        <v>-17660</v>
      </c>
      <c r="R41" s="325">
        <v>0</v>
      </c>
      <c r="S41" s="325">
        <v>0</v>
      </c>
      <c r="T41" s="325">
        <v>0</v>
      </c>
      <c r="U41" s="325">
        <v>0</v>
      </c>
      <c r="V41" s="492">
        <f>P41+Q41+R41+S41+T41+U41</f>
        <v>-17660</v>
      </c>
      <c r="W41" s="325">
        <v>0</v>
      </c>
      <c r="X41" s="325">
        <v>0</v>
      </c>
      <c r="Y41" s="325">
        <v>0</v>
      </c>
      <c r="Z41" s="492">
        <f>W41+X41+Y41</f>
        <v>0</v>
      </c>
      <c r="AA41" s="492">
        <f>V41+Z41</f>
        <v>-17660</v>
      </c>
      <c r="AB41" s="494">
        <f>ROUND((V41+Z41)*33.8%,0)</f>
        <v>-5969</v>
      </c>
      <c r="AC41" s="494">
        <f>ROUND(V41*1%,0)</f>
        <v>-177</v>
      </c>
      <c r="AD41" s="492">
        <v>0</v>
      </c>
      <c r="AE41" s="753">
        <f t="shared" si="20"/>
        <v>-23806</v>
      </c>
      <c r="AF41" s="688">
        <v>0</v>
      </c>
      <c r="AG41" s="491">
        <f>0.04-0.08</f>
        <v>-0.04</v>
      </c>
      <c r="AH41" s="326">
        <v>0</v>
      </c>
      <c r="AI41" s="326">
        <v>0</v>
      </c>
      <c r="AJ41" s="326">
        <v>0</v>
      </c>
      <c r="AK41" s="326">
        <v>0</v>
      </c>
      <c r="AL41" s="609">
        <f>SUM(AF41:AK41)</f>
        <v>-0.04</v>
      </c>
      <c r="AM41" s="676">
        <f>I41+AE41</f>
        <v>3491356</v>
      </c>
      <c r="AN41" s="492">
        <f>J41+V41</f>
        <v>2590027</v>
      </c>
      <c r="AO41" s="573">
        <f>K41+Z41</f>
        <v>0</v>
      </c>
      <c r="AP41" s="492">
        <f t="shared" si="21"/>
        <v>875429</v>
      </c>
      <c r="AQ41" s="492">
        <f t="shared" si="21"/>
        <v>25900</v>
      </c>
      <c r="AR41" s="492">
        <f t="shared" si="21"/>
        <v>0</v>
      </c>
      <c r="AS41" s="609">
        <f>O41+AL41</f>
        <v>6.24</v>
      </c>
    </row>
    <row r="42" spans="1:45" ht="12.95" customHeight="1" x14ac:dyDescent="0.25">
      <c r="A42" s="205">
        <v>8</v>
      </c>
      <c r="B42" s="246">
        <v>5445</v>
      </c>
      <c r="C42" s="247">
        <v>600099351</v>
      </c>
      <c r="D42" s="206">
        <v>70155771</v>
      </c>
      <c r="E42" s="248" t="s">
        <v>349</v>
      </c>
      <c r="F42" s="206">
        <v>3143</v>
      </c>
      <c r="G42" s="248" t="s">
        <v>795</v>
      </c>
      <c r="H42" s="209" t="s">
        <v>262</v>
      </c>
      <c r="I42" s="580">
        <v>2086923</v>
      </c>
      <c r="J42" s="490">
        <v>1548162</v>
      </c>
      <c r="K42" s="554">
        <v>0</v>
      </c>
      <c r="L42" s="431">
        <v>523279</v>
      </c>
      <c r="M42" s="431">
        <v>15482</v>
      </c>
      <c r="N42" s="325">
        <v>0</v>
      </c>
      <c r="O42" s="719">
        <v>2.7585999999999999</v>
      </c>
      <c r="P42" s="327">
        <f t="shared" si="19"/>
        <v>0</v>
      </c>
      <c r="Q42" s="492">
        <v>0</v>
      </c>
      <c r="R42" s="325">
        <v>0</v>
      </c>
      <c r="S42" s="325">
        <v>0</v>
      </c>
      <c r="T42" s="325">
        <v>0</v>
      </c>
      <c r="U42" s="325">
        <v>0</v>
      </c>
      <c r="V42" s="492">
        <f>P42+Q42+R42+S42+T42+U42</f>
        <v>0</v>
      </c>
      <c r="W42" s="325">
        <v>0</v>
      </c>
      <c r="X42" s="325">
        <v>0</v>
      </c>
      <c r="Y42" s="325">
        <v>0</v>
      </c>
      <c r="Z42" s="492">
        <f>W42+X42+Y42</f>
        <v>0</v>
      </c>
      <c r="AA42" s="492">
        <f>V42+Z42</f>
        <v>0</v>
      </c>
      <c r="AB42" s="494">
        <f>ROUND((V42+Z42)*33.8%,0)</f>
        <v>0</v>
      </c>
      <c r="AC42" s="494">
        <f>ROUND(V42*1%,0)</f>
        <v>0</v>
      </c>
      <c r="AD42" s="492">
        <v>0</v>
      </c>
      <c r="AE42" s="753">
        <f t="shared" si="20"/>
        <v>0</v>
      </c>
      <c r="AF42" s="688">
        <v>0</v>
      </c>
      <c r="AG42" s="491">
        <v>0</v>
      </c>
      <c r="AH42" s="326">
        <v>0</v>
      </c>
      <c r="AI42" s="326">
        <v>0</v>
      </c>
      <c r="AJ42" s="326">
        <v>0</v>
      </c>
      <c r="AK42" s="326">
        <v>0</v>
      </c>
      <c r="AL42" s="609">
        <f>SUM(AF42:AK42)</f>
        <v>0</v>
      </c>
      <c r="AM42" s="676">
        <f>I42+AE42</f>
        <v>2086923</v>
      </c>
      <c r="AN42" s="492">
        <f>J42+V42</f>
        <v>1548162</v>
      </c>
      <c r="AO42" s="573">
        <f>K42+Z42</f>
        <v>0</v>
      </c>
      <c r="AP42" s="492">
        <f t="shared" si="21"/>
        <v>523279</v>
      </c>
      <c r="AQ42" s="492">
        <f t="shared" si="21"/>
        <v>15482</v>
      </c>
      <c r="AR42" s="492">
        <f t="shared" si="21"/>
        <v>0</v>
      </c>
      <c r="AS42" s="609">
        <f>O42+AL42</f>
        <v>2.7585999999999999</v>
      </c>
    </row>
    <row r="43" spans="1:45" ht="12.95" customHeight="1" x14ac:dyDescent="0.25">
      <c r="A43" s="205">
        <v>8</v>
      </c>
      <c r="B43" s="246">
        <v>5445</v>
      </c>
      <c r="C43" s="247">
        <v>600099351</v>
      </c>
      <c r="D43" s="206">
        <v>70155771</v>
      </c>
      <c r="E43" s="248" t="s">
        <v>349</v>
      </c>
      <c r="F43" s="206">
        <v>3143</v>
      </c>
      <c r="G43" s="248" t="s">
        <v>282</v>
      </c>
      <c r="H43" s="209" t="s">
        <v>263</v>
      </c>
      <c r="I43" s="580">
        <v>259297</v>
      </c>
      <c r="J43" s="490">
        <v>162579</v>
      </c>
      <c r="K43" s="554">
        <v>30000</v>
      </c>
      <c r="L43" s="431">
        <v>65092</v>
      </c>
      <c r="M43" s="431">
        <v>1626</v>
      </c>
      <c r="N43" s="325">
        <v>0</v>
      </c>
      <c r="O43" s="719">
        <v>0.31</v>
      </c>
      <c r="P43" s="327">
        <f t="shared" si="19"/>
        <v>-20000</v>
      </c>
      <c r="Q43" s="492">
        <v>0</v>
      </c>
      <c r="R43" s="325">
        <v>0</v>
      </c>
      <c r="S43" s="325">
        <v>0</v>
      </c>
      <c r="T43" s="325">
        <v>0</v>
      </c>
      <c r="U43" s="325">
        <v>0</v>
      </c>
      <c r="V43" s="492">
        <f>P43+Q43+R43+S43+T43+U43</f>
        <v>-20000</v>
      </c>
      <c r="W43" s="325">
        <v>20000</v>
      </c>
      <c r="X43" s="325">
        <v>0</v>
      </c>
      <c r="Y43" s="325">
        <v>0</v>
      </c>
      <c r="Z43" s="492">
        <f>W43+X43+Y43</f>
        <v>20000</v>
      </c>
      <c r="AA43" s="492">
        <f>V43+Z43</f>
        <v>0</v>
      </c>
      <c r="AB43" s="494">
        <f>ROUND((V43+Z43)*33.8%,0)</f>
        <v>0</v>
      </c>
      <c r="AC43" s="494">
        <f>ROUND(V43*1%,0)</f>
        <v>-200</v>
      </c>
      <c r="AD43" s="492">
        <v>0</v>
      </c>
      <c r="AE43" s="753">
        <f t="shared" si="20"/>
        <v>-200</v>
      </c>
      <c r="AF43" s="688">
        <v>-3.9999999999999994E-2</v>
      </c>
      <c r="AG43" s="491">
        <v>0</v>
      </c>
      <c r="AH43" s="326">
        <v>0</v>
      </c>
      <c r="AI43" s="326">
        <v>0</v>
      </c>
      <c r="AJ43" s="326">
        <v>0</v>
      </c>
      <c r="AK43" s="326">
        <v>0</v>
      </c>
      <c r="AL43" s="609">
        <f>SUM(AF43:AK43)</f>
        <v>-3.9999999999999994E-2</v>
      </c>
      <c r="AM43" s="676">
        <f>I43+AE43</f>
        <v>259097</v>
      </c>
      <c r="AN43" s="492">
        <f>J43+V43</f>
        <v>142579</v>
      </c>
      <c r="AO43" s="573">
        <f>K43+Z43</f>
        <v>50000</v>
      </c>
      <c r="AP43" s="492">
        <f t="shared" si="21"/>
        <v>65092</v>
      </c>
      <c r="AQ43" s="492">
        <f t="shared" si="21"/>
        <v>1426</v>
      </c>
      <c r="AR43" s="492">
        <f t="shared" si="21"/>
        <v>0</v>
      </c>
      <c r="AS43" s="609">
        <f>O43+AL43</f>
        <v>0.27</v>
      </c>
    </row>
    <row r="44" spans="1:45" ht="12.95" customHeight="1" x14ac:dyDescent="0.25">
      <c r="A44" s="249">
        <v>8</v>
      </c>
      <c r="B44" s="250">
        <v>5445</v>
      </c>
      <c r="C44" s="251">
        <v>600099351</v>
      </c>
      <c r="D44" s="250">
        <v>70155771</v>
      </c>
      <c r="E44" s="252" t="s">
        <v>350</v>
      </c>
      <c r="F44" s="216"/>
      <c r="G44" s="254"/>
      <c r="H44" s="217"/>
      <c r="I44" s="668">
        <v>32970325</v>
      </c>
      <c r="J44" s="355">
        <v>24428920</v>
      </c>
      <c r="K44" s="355">
        <v>30000</v>
      </c>
      <c r="L44" s="355">
        <v>8267115</v>
      </c>
      <c r="M44" s="355">
        <v>244290</v>
      </c>
      <c r="N44" s="355">
        <v>0</v>
      </c>
      <c r="O44" s="780">
        <v>35.375600000000006</v>
      </c>
      <c r="P44" s="668">
        <f t="shared" ref="P44:AS44" si="22">SUM(P39:P43)</f>
        <v>-20000</v>
      </c>
      <c r="Q44" s="355">
        <f t="shared" si="22"/>
        <v>-17660</v>
      </c>
      <c r="R44" s="355">
        <f t="shared" si="22"/>
        <v>0</v>
      </c>
      <c r="S44" s="355">
        <f t="shared" si="22"/>
        <v>0</v>
      </c>
      <c r="T44" s="355">
        <f t="shared" si="22"/>
        <v>0</v>
      </c>
      <c r="U44" s="355">
        <f t="shared" si="22"/>
        <v>0</v>
      </c>
      <c r="V44" s="355">
        <f t="shared" si="22"/>
        <v>-37660</v>
      </c>
      <c r="W44" s="355">
        <f t="shared" si="22"/>
        <v>20000</v>
      </c>
      <c r="X44" s="355">
        <f t="shared" si="22"/>
        <v>0</v>
      </c>
      <c r="Y44" s="355">
        <f t="shared" si="22"/>
        <v>0</v>
      </c>
      <c r="Z44" s="355">
        <f t="shared" si="22"/>
        <v>20000</v>
      </c>
      <c r="AA44" s="355">
        <f t="shared" si="22"/>
        <v>-17660</v>
      </c>
      <c r="AB44" s="355">
        <f t="shared" si="22"/>
        <v>-5969</v>
      </c>
      <c r="AC44" s="355">
        <f t="shared" si="22"/>
        <v>-377</v>
      </c>
      <c r="AD44" s="355">
        <f t="shared" si="22"/>
        <v>0</v>
      </c>
      <c r="AE44" s="665">
        <f t="shared" si="22"/>
        <v>-24006</v>
      </c>
      <c r="AF44" s="793">
        <f t="shared" si="22"/>
        <v>-3.9999999999999994E-2</v>
      </c>
      <c r="AG44" s="356">
        <f t="shared" si="22"/>
        <v>-0.04</v>
      </c>
      <c r="AH44" s="356">
        <f t="shared" si="22"/>
        <v>0</v>
      </c>
      <c r="AI44" s="356">
        <f t="shared" si="22"/>
        <v>0</v>
      </c>
      <c r="AJ44" s="356">
        <f t="shared" si="22"/>
        <v>0</v>
      </c>
      <c r="AK44" s="356">
        <f t="shared" si="22"/>
        <v>0</v>
      </c>
      <c r="AL44" s="253">
        <f t="shared" si="22"/>
        <v>-7.9999999999999988E-2</v>
      </c>
      <c r="AM44" s="668">
        <f t="shared" si="22"/>
        <v>32946319</v>
      </c>
      <c r="AN44" s="355">
        <f t="shared" si="22"/>
        <v>24391260</v>
      </c>
      <c r="AO44" s="355">
        <f t="shared" si="22"/>
        <v>50000</v>
      </c>
      <c r="AP44" s="355">
        <f t="shared" si="22"/>
        <v>8261146</v>
      </c>
      <c r="AQ44" s="355">
        <f t="shared" si="22"/>
        <v>243913</v>
      </c>
      <c r="AR44" s="355">
        <f t="shared" si="22"/>
        <v>0</v>
      </c>
      <c r="AS44" s="253">
        <f t="shared" si="22"/>
        <v>35.295600000000007</v>
      </c>
    </row>
    <row r="45" spans="1:45" ht="12.95" customHeight="1" x14ac:dyDescent="0.25">
      <c r="A45" s="205">
        <v>9</v>
      </c>
      <c r="B45" s="246">
        <v>5446</v>
      </c>
      <c r="C45" s="259">
        <v>600099393</v>
      </c>
      <c r="D45" s="206">
        <v>856096</v>
      </c>
      <c r="E45" s="248" t="s">
        <v>351</v>
      </c>
      <c r="F45" s="206">
        <v>3231</v>
      </c>
      <c r="G45" s="248" t="s">
        <v>281</v>
      </c>
      <c r="H45" s="209" t="s">
        <v>262</v>
      </c>
      <c r="I45" s="610">
        <v>23387714</v>
      </c>
      <c r="J45" s="554">
        <v>17299910</v>
      </c>
      <c r="K45" s="554">
        <v>50400</v>
      </c>
      <c r="L45" s="431">
        <v>5864405</v>
      </c>
      <c r="M45" s="431">
        <v>172999</v>
      </c>
      <c r="N45" s="325">
        <v>0</v>
      </c>
      <c r="O45" s="718">
        <v>25.9298</v>
      </c>
      <c r="P45" s="327">
        <f>W45*-1</f>
        <v>-33600</v>
      </c>
      <c r="Q45" s="492">
        <v>0</v>
      </c>
      <c r="R45" s="325">
        <v>0</v>
      </c>
      <c r="S45" s="325">
        <v>0</v>
      </c>
      <c r="T45" s="325">
        <v>0</v>
      </c>
      <c r="U45" s="325">
        <v>0</v>
      </c>
      <c r="V45" s="492">
        <f>P45+Q45+R45+S45+T45+U45</f>
        <v>-33600</v>
      </c>
      <c r="W45" s="325">
        <v>33600</v>
      </c>
      <c r="X45" s="325">
        <v>0</v>
      </c>
      <c r="Y45" s="325">
        <v>0</v>
      </c>
      <c r="Z45" s="492">
        <f>W45+X45+Y45</f>
        <v>33600</v>
      </c>
      <c r="AA45" s="492">
        <f>V45+Z45</f>
        <v>0</v>
      </c>
      <c r="AB45" s="494">
        <f>ROUND((V45+Z45)*33.8%,0)</f>
        <v>0</v>
      </c>
      <c r="AC45" s="494">
        <f>ROUND(V45*1%,0)</f>
        <v>-336</v>
      </c>
      <c r="AD45" s="492">
        <v>0</v>
      </c>
      <c r="AE45" s="753">
        <f>AA45+AB45+AC45+AD45</f>
        <v>-336</v>
      </c>
      <c r="AF45" s="688">
        <v>-0.05</v>
      </c>
      <c r="AG45" s="491">
        <v>0</v>
      </c>
      <c r="AH45" s="326">
        <v>0</v>
      </c>
      <c r="AI45" s="326">
        <v>0</v>
      </c>
      <c r="AJ45" s="326">
        <v>0</v>
      </c>
      <c r="AK45" s="326">
        <v>0</v>
      </c>
      <c r="AL45" s="609">
        <f>SUM(AF45:AK45)</f>
        <v>-0.05</v>
      </c>
      <c r="AM45" s="676">
        <f>I45+AE45</f>
        <v>23387378</v>
      </c>
      <c r="AN45" s="492">
        <f>J45+V45</f>
        <v>17266310</v>
      </c>
      <c r="AO45" s="573">
        <f>K45+Z45</f>
        <v>84000</v>
      </c>
      <c r="AP45" s="492">
        <f>L45+AB45</f>
        <v>5864405</v>
      </c>
      <c r="AQ45" s="492">
        <f>M45+AC45</f>
        <v>172663</v>
      </c>
      <c r="AR45" s="492">
        <f>N45+AD45</f>
        <v>0</v>
      </c>
      <c r="AS45" s="609">
        <f>O45+AL45</f>
        <v>25.879799999999999</v>
      </c>
    </row>
    <row r="46" spans="1:45" ht="12.95" customHeight="1" x14ac:dyDescent="0.25">
      <c r="A46" s="249">
        <v>9</v>
      </c>
      <c r="B46" s="250">
        <v>5446</v>
      </c>
      <c r="C46" s="251">
        <v>600099393</v>
      </c>
      <c r="D46" s="250">
        <v>856096</v>
      </c>
      <c r="E46" s="252" t="s">
        <v>352</v>
      </c>
      <c r="F46" s="216"/>
      <c r="G46" s="254"/>
      <c r="H46" s="217"/>
      <c r="I46" s="668">
        <v>23387714</v>
      </c>
      <c r="J46" s="355">
        <v>17299910</v>
      </c>
      <c r="K46" s="355">
        <v>50400</v>
      </c>
      <c r="L46" s="355">
        <v>5864405</v>
      </c>
      <c r="M46" s="355">
        <v>172999</v>
      </c>
      <c r="N46" s="355">
        <v>0</v>
      </c>
      <c r="O46" s="780">
        <v>25.9298</v>
      </c>
      <c r="P46" s="668">
        <f t="shared" ref="P46:AS46" si="23">SUM(P45)</f>
        <v>-33600</v>
      </c>
      <c r="Q46" s="355">
        <f t="shared" si="23"/>
        <v>0</v>
      </c>
      <c r="R46" s="355">
        <f t="shared" si="23"/>
        <v>0</v>
      </c>
      <c r="S46" s="355">
        <f t="shared" si="23"/>
        <v>0</v>
      </c>
      <c r="T46" s="355">
        <f t="shared" si="23"/>
        <v>0</v>
      </c>
      <c r="U46" s="355">
        <f t="shared" si="23"/>
        <v>0</v>
      </c>
      <c r="V46" s="355">
        <f t="shared" si="23"/>
        <v>-33600</v>
      </c>
      <c r="W46" s="355">
        <f t="shared" si="23"/>
        <v>33600</v>
      </c>
      <c r="X46" s="355">
        <f t="shared" si="23"/>
        <v>0</v>
      </c>
      <c r="Y46" s="355">
        <f t="shared" si="23"/>
        <v>0</v>
      </c>
      <c r="Z46" s="355">
        <f t="shared" si="23"/>
        <v>33600</v>
      </c>
      <c r="AA46" s="355">
        <f t="shared" si="23"/>
        <v>0</v>
      </c>
      <c r="AB46" s="355">
        <f t="shared" si="23"/>
        <v>0</v>
      </c>
      <c r="AC46" s="355">
        <f t="shared" si="23"/>
        <v>-336</v>
      </c>
      <c r="AD46" s="355">
        <f t="shared" si="23"/>
        <v>0</v>
      </c>
      <c r="AE46" s="665">
        <f t="shared" si="23"/>
        <v>-336</v>
      </c>
      <c r="AF46" s="793">
        <f t="shared" si="23"/>
        <v>-0.05</v>
      </c>
      <c r="AG46" s="356">
        <f t="shared" si="23"/>
        <v>0</v>
      </c>
      <c r="AH46" s="356">
        <f t="shared" si="23"/>
        <v>0</v>
      </c>
      <c r="AI46" s="356">
        <f t="shared" si="23"/>
        <v>0</v>
      </c>
      <c r="AJ46" s="356">
        <f t="shared" si="23"/>
        <v>0</v>
      </c>
      <c r="AK46" s="356">
        <f t="shared" si="23"/>
        <v>0</v>
      </c>
      <c r="AL46" s="253">
        <f t="shared" si="23"/>
        <v>-0.05</v>
      </c>
      <c r="AM46" s="668">
        <f t="shared" si="23"/>
        <v>23387378</v>
      </c>
      <c r="AN46" s="355">
        <f t="shared" si="23"/>
        <v>17266310</v>
      </c>
      <c r="AO46" s="355">
        <f t="shared" si="23"/>
        <v>84000</v>
      </c>
      <c r="AP46" s="355">
        <f t="shared" si="23"/>
        <v>5864405</v>
      </c>
      <c r="AQ46" s="355">
        <f t="shared" si="23"/>
        <v>172663</v>
      </c>
      <c r="AR46" s="355">
        <f t="shared" si="23"/>
        <v>0</v>
      </c>
      <c r="AS46" s="253">
        <f t="shared" si="23"/>
        <v>25.879799999999999</v>
      </c>
    </row>
    <row r="47" spans="1:45" ht="12.95" customHeight="1" x14ac:dyDescent="0.25">
      <c r="A47" s="205">
        <v>10</v>
      </c>
      <c r="B47" s="246">
        <v>5403</v>
      </c>
      <c r="C47" s="247">
        <v>600098966</v>
      </c>
      <c r="D47" s="206">
        <v>75016931</v>
      </c>
      <c r="E47" s="248" t="s">
        <v>353</v>
      </c>
      <c r="F47" s="206">
        <v>3111</v>
      </c>
      <c r="G47" s="248" t="s">
        <v>290</v>
      </c>
      <c r="H47" s="209" t="s">
        <v>262</v>
      </c>
      <c r="I47" s="610">
        <v>3044524</v>
      </c>
      <c r="J47" s="554">
        <v>2258548</v>
      </c>
      <c r="K47" s="554">
        <v>0</v>
      </c>
      <c r="L47" s="431">
        <v>763390</v>
      </c>
      <c r="M47" s="431">
        <v>22586</v>
      </c>
      <c r="N47" s="325">
        <v>0</v>
      </c>
      <c r="O47" s="718">
        <v>3.9355000000000002</v>
      </c>
      <c r="P47" s="327">
        <f t="shared" ref="P47:P50" si="24">W47*-1</f>
        <v>0</v>
      </c>
      <c r="Q47" s="492">
        <v>0</v>
      </c>
      <c r="R47" s="325">
        <v>0</v>
      </c>
      <c r="S47" s="325">
        <v>0</v>
      </c>
      <c r="T47" s="325">
        <v>0</v>
      </c>
      <c r="U47" s="325">
        <v>0</v>
      </c>
      <c r="V47" s="492">
        <f>P47+Q47+R47+S47+T47+U47</f>
        <v>0</v>
      </c>
      <c r="W47" s="325">
        <v>0</v>
      </c>
      <c r="X47" s="325">
        <v>0</v>
      </c>
      <c r="Y47" s="325">
        <v>0</v>
      </c>
      <c r="Z47" s="492">
        <f>W47+X47+Y47</f>
        <v>0</v>
      </c>
      <c r="AA47" s="492">
        <f>V47+Z47</f>
        <v>0</v>
      </c>
      <c r="AB47" s="494">
        <f>ROUND((V47+Z47)*33.8%,0)</f>
        <v>0</v>
      </c>
      <c r="AC47" s="494">
        <f>ROUND(V47*1%,0)</f>
        <v>0</v>
      </c>
      <c r="AD47" s="492">
        <v>0</v>
      </c>
      <c r="AE47" s="753">
        <f t="shared" ref="AE47:AE50" si="25">AA47+AB47+AC47+AD47</f>
        <v>0</v>
      </c>
      <c r="AF47" s="688">
        <v>0</v>
      </c>
      <c r="AG47" s="491">
        <v>0</v>
      </c>
      <c r="AH47" s="326">
        <v>0</v>
      </c>
      <c r="AI47" s="326">
        <v>0</v>
      </c>
      <c r="AJ47" s="326">
        <v>0</v>
      </c>
      <c r="AK47" s="326">
        <v>0</v>
      </c>
      <c r="AL47" s="609">
        <f>SUM(AF47:AK47)</f>
        <v>0</v>
      </c>
      <c r="AM47" s="676">
        <f>I47+AE47</f>
        <v>3044524</v>
      </c>
      <c r="AN47" s="492">
        <f>J47+V47</f>
        <v>2258548</v>
      </c>
      <c r="AO47" s="573">
        <f>K47+Z47</f>
        <v>0</v>
      </c>
      <c r="AP47" s="492">
        <f t="shared" ref="AP47:AR50" si="26">L47+AB47</f>
        <v>763390</v>
      </c>
      <c r="AQ47" s="492">
        <f t="shared" si="26"/>
        <v>22586</v>
      </c>
      <c r="AR47" s="492">
        <f t="shared" si="26"/>
        <v>0</v>
      </c>
      <c r="AS47" s="609">
        <f>O47+AL47</f>
        <v>3.9355000000000002</v>
      </c>
    </row>
    <row r="48" spans="1:45" ht="12.95" customHeight="1" x14ac:dyDescent="0.25">
      <c r="A48" s="205">
        <v>10</v>
      </c>
      <c r="B48" s="246">
        <v>5403</v>
      </c>
      <c r="C48" s="247">
        <v>600098966</v>
      </c>
      <c r="D48" s="206">
        <v>75016931</v>
      </c>
      <c r="E48" s="248" t="s">
        <v>353</v>
      </c>
      <c r="F48" s="206">
        <v>3117</v>
      </c>
      <c r="G48" s="248" t="s">
        <v>280</v>
      </c>
      <c r="H48" s="209" t="s">
        <v>262</v>
      </c>
      <c r="I48" s="580">
        <v>3442445</v>
      </c>
      <c r="J48" s="490">
        <v>2541832</v>
      </c>
      <c r="K48" s="554">
        <v>12000</v>
      </c>
      <c r="L48" s="431">
        <v>863195</v>
      </c>
      <c r="M48" s="431">
        <v>25418</v>
      </c>
      <c r="N48" s="325">
        <v>0</v>
      </c>
      <c r="O48" s="719">
        <v>3.98</v>
      </c>
      <c r="P48" s="327">
        <f t="shared" si="24"/>
        <v>-8000</v>
      </c>
      <c r="Q48" s="492">
        <v>0</v>
      </c>
      <c r="R48" s="325">
        <v>0</v>
      </c>
      <c r="S48" s="325">
        <v>0</v>
      </c>
      <c r="T48" s="325">
        <v>0</v>
      </c>
      <c r="U48" s="325">
        <v>0</v>
      </c>
      <c r="V48" s="492">
        <f>P48+Q48+R48+S48+T48+U48</f>
        <v>-8000</v>
      </c>
      <c r="W48" s="325">
        <v>8000</v>
      </c>
      <c r="X48" s="325">
        <v>0</v>
      </c>
      <c r="Y48" s="325">
        <v>0</v>
      </c>
      <c r="Z48" s="492">
        <f>W48+X48+Y48</f>
        <v>8000</v>
      </c>
      <c r="AA48" s="492">
        <f>V48+Z48</f>
        <v>0</v>
      </c>
      <c r="AB48" s="494">
        <f>ROUND((V48+Z48)*33.8%,0)</f>
        <v>0</v>
      </c>
      <c r="AC48" s="494">
        <f>ROUND(V48*1%,0)</f>
        <v>-80</v>
      </c>
      <c r="AD48" s="492">
        <v>0</v>
      </c>
      <c r="AE48" s="753">
        <f t="shared" si="25"/>
        <v>-80</v>
      </c>
      <c r="AF48" s="688">
        <v>-9.9999999999999985E-3</v>
      </c>
      <c r="AG48" s="491">
        <v>0</v>
      </c>
      <c r="AH48" s="326">
        <v>0</v>
      </c>
      <c r="AI48" s="326">
        <v>0</v>
      </c>
      <c r="AJ48" s="326">
        <v>0</v>
      </c>
      <c r="AK48" s="326">
        <v>0</v>
      </c>
      <c r="AL48" s="609">
        <f>SUM(AF48:AK48)</f>
        <v>-9.9999999999999985E-3</v>
      </c>
      <c r="AM48" s="676">
        <f>I48+AE48</f>
        <v>3442365</v>
      </c>
      <c r="AN48" s="492">
        <f>J48+V48</f>
        <v>2533832</v>
      </c>
      <c r="AO48" s="573">
        <f>K48+Z48</f>
        <v>20000</v>
      </c>
      <c r="AP48" s="492">
        <f t="shared" si="26"/>
        <v>863195</v>
      </c>
      <c r="AQ48" s="492">
        <f t="shared" si="26"/>
        <v>25338</v>
      </c>
      <c r="AR48" s="492">
        <f t="shared" si="26"/>
        <v>0</v>
      </c>
      <c r="AS48" s="609">
        <f>O48+AL48</f>
        <v>3.97</v>
      </c>
    </row>
    <row r="49" spans="1:47" ht="12.95" customHeight="1" x14ac:dyDescent="0.25">
      <c r="A49" s="205">
        <v>10</v>
      </c>
      <c r="B49" s="246">
        <v>5403</v>
      </c>
      <c r="C49" s="247">
        <v>600098966</v>
      </c>
      <c r="D49" s="206">
        <v>75016931</v>
      </c>
      <c r="E49" s="248" t="s">
        <v>353</v>
      </c>
      <c r="F49" s="206">
        <v>3117</v>
      </c>
      <c r="G49" s="248" t="s">
        <v>284</v>
      </c>
      <c r="H49" s="209" t="s">
        <v>263</v>
      </c>
      <c r="I49" s="580">
        <v>588855</v>
      </c>
      <c r="J49" s="490">
        <v>436836</v>
      </c>
      <c r="K49" s="554">
        <v>0</v>
      </c>
      <c r="L49" s="431">
        <v>147651</v>
      </c>
      <c r="M49" s="431">
        <v>4368</v>
      </c>
      <c r="N49" s="325">
        <v>0</v>
      </c>
      <c r="O49" s="719">
        <v>0.95</v>
      </c>
      <c r="P49" s="327">
        <f t="shared" si="24"/>
        <v>0</v>
      </c>
      <c r="Q49" s="492">
        <v>0</v>
      </c>
      <c r="R49" s="325">
        <v>0</v>
      </c>
      <c r="S49" s="325">
        <v>0</v>
      </c>
      <c r="T49" s="325">
        <v>0</v>
      </c>
      <c r="U49" s="325">
        <v>0</v>
      </c>
      <c r="V49" s="492">
        <f>P49+Q49+R49+S49+T49+U49</f>
        <v>0</v>
      </c>
      <c r="W49" s="325">
        <v>0</v>
      </c>
      <c r="X49" s="325">
        <v>0</v>
      </c>
      <c r="Y49" s="325">
        <v>0</v>
      </c>
      <c r="Z49" s="492">
        <f>W49+X49+Y49</f>
        <v>0</v>
      </c>
      <c r="AA49" s="492">
        <f>V49+Z49</f>
        <v>0</v>
      </c>
      <c r="AB49" s="494">
        <f>ROUND((V49+Z49)*33.8%,0)</f>
        <v>0</v>
      </c>
      <c r="AC49" s="494">
        <f>ROUND(V49*1%,0)</f>
        <v>0</v>
      </c>
      <c r="AD49" s="492">
        <v>0</v>
      </c>
      <c r="AE49" s="753">
        <f t="shared" si="25"/>
        <v>0</v>
      </c>
      <c r="AF49" s="688">
        <v>0</v>
      </c>
      <c r="AG49" s="491">
        <v>0</v>
      </c>
      <c r="AH49" s="326">
        <v>0</v>
      </c>
      <c r="AI49" s="326">
        <v>0</v>
      </c>
      <c r="AJ49" s="326">
        <v>0</v>
      </c>
      <c r="AK49" s="326">
        <v>0</v>
      </c>
      <c r="AL49" s="609">
        <f>SUM(AF49:AK49)</f>
        <v>0</v>
      </c>
      <c r="AM49" s="676">
        <f>I49+AE49</f>
        <v>588855</v>
      </c>
      <c r="AN49" s="492">
        <f>J49+V49</f>
        <v>436836</v>
      </c>
      <c r="AO49" s="573">
        <f>K49+Z49</f>
        <v>0</v>
      </c>
      <c r="AP49" s="492">
        <f t="shared" si="26"/>
        <v>147651</v>
      </c>
      <c r="AQ49" s="492">
        <f t="shared" si="26"/>
        <v>4368</v>
      </c>
      <c r="AR49" s="492">
        <f t="shared" si="26"/>
        <v>0</v>
      </c>
      <c r="AS49" s="609">
        <f>O49+AL49</f>
        <v>0.95</v>
      </c>
    </row>
    <row r="50" spans="1:47" ht="12.95" customHeight="1" x14ac:dyDescent="0.25">
      <c r="A50" s="205">
        <v>10</v>
      </c>
      <c r="B50" s="246">
        <v>5403</v>
      </c>
      <c r="C50" s="247">
        <v>600098966</v>
      </c>
      <c r="D50" s="206">
        <v>75016931</v>
      </c>
      <c r="E50" s="248" t="s">
        <v>353</v>
      </c>
      <c r="F50" s="206">
        <v>3143</v>
      </c>
      <c r="G50" s="248" t="s">
        <v>794</v>
      </c>
      <c r="H50" s="209" t="s">
        <v>262</v>
      </c>
      <c r="I50" s="580">
        <v>696968</v>
      </c>
      <c r="J50" s="490">
        <v>517039</v>
      </c>
      <c r="K50" s="554">
        <v>0</v>
      </c>
      <c r="L50" s="431">
        <v>174759</v>
      </c>
      <c r="M50" s="431">
        <v>5170</v>
      </c>
      <c r="N50" s="325">
        <v>0</v>
      </c>
      <c r="O50" s="719">
        <v>1</v>
      </c>
      <c r="P50" s="327">
        <f t="shared" si="24"/>
        <v>0</v>
      </c>
      <c r="Q50" s="492">
        <v>0</v>
      </c>
      <c r="R50" s="325">
        <v>0</v>
      </c>
      <c r="S50" s="325">
        <v>0</v>
      </c>
      <c r="T50" s="325">
        <v>0</v>
      </c>
      <c r="U50" s="325">
        <v>0</v>
      </c>
      <c r="V50" s="492">
        <f>P50+Q50+R50+S50+T50+U50</f>
        <v>0</v>
      </c>
      <c r="W50" s="325">
        <v>0</v>
      </c>
      <c r="X50" s="325">
        <v>0</v>
      </c>
      <c r="Y50" s="325">
        <v>0</v>
      </c>
      <c r="Z50" s="492">
        <f>W50+X50+Y50</f>
        <v>0</v>
      </c>
      <c r="AA50" s="492">
        <f>V50+Z50</f>
        <v>0</v>
      </c>
      <c r="AB50" s="494">
        <f>ROUND((V50+Z50)*33.8%,0)</f>
        <v>0</v>
      </c>
      <c r="AC50" s="494">
        <f>ROUND(V50*1%,0)</f>
        <v>0</v>
      </c>
      <c r="AD50" s="492">
        <v>0</v>
      </c>
      <c r="AE50" s="753">
        <f t="shared" si="25"/>
        <v>0</v>
      </c>
      <c r="AF50" s="688">
        <v>0</v>
      </c>
      <c r="AG50" s="491">
        <v>0</v>
      </c>
      <c r="AH50" s="326">
        <v>0</v>
      </c>
      <c r="AI50" s="326">
        <v>0</v>
      </c>
      <c r="AJ50" s="326">
        <v>0</v>
      </c>
      <c r="AK50" s="326">
        <v>0</v>
      </c>
      <c r="AL50" s="609">
        <f>SUM(AF50:AK50)</f>
        <v>0</v>
      </c>
      <c r="AM50" s="676">
        <f>I50+AE50</f>
        <v>696968</v>
      </c>
      <c r="AN50" s="492">
        <f>J50+V50</f>
        <v>517039</v>
      </c>
      <c r="AO50" s="573">
        <f>K50+Z50</f>
        <v>0</v>
      </c>
      <c r="AP50" s="492">
        <f t="shared" si="26"/>
        <v>174759</v>
      </c>
      <c r="AQ50" s="492">
        <f t="shared" si="26"/>
        <v>5170</v>
      </c>
      <c r="AR50" s="492">
        <f t="shared" si="26"/>
        <v>0</v>
      </c>
      <c r="AS50" s="609">
        <f>O50+AL50</f>
        <v>1</v>
      </c>
    </row>
    <row r="51" spans="1:47" ht="12.95" customHeight="1" x14ac:dyDescent="0.25">
      <c r="A51" s="249">
        <v>10</v>
      </c>
      <c r="B51" s="250">
        <v>5403</v>
      </c>
      <c r="C51" s="251">
        <v>600098966</v>
      </c>
      <c r="D51" s="250">
        <v>75016931</v>
      </c>
      <c r="E51" s="252" t="s">
        <v>354</v>
      </c>
      <c r="F51" s="216"/>
      <c r="G51" s="254"/>
      <c r="H51" s="217"/>
      <c r="I51" s="668">
        <v>7772792</v>
      </c>
      <c r="J51" s="355">
        <v>5754255</v>
      </c>
      <c r="K51" s="355">
        <v>12000</v>
      </c>
      <c r="L51" s="355">
        <v>1948995</v>
      </c>
      <c r="M51" s="355">
        <v>57542</v>
      </c>
      <c r="N51" s="355">
        <v>0</v>
      </c>
      <c r="O51" s="780">
        <v>9.865499999999999</v>
      </c>
      <c r="P51" s="668">
        <f t="shared" ref="P51:AS51" si="27">SUM(P47:P50)</f>
        <v>-8000</v>
      </c>
      <c r="Q51" s="355">
        <f t="shared" si="27"/>
        <v>0</v>
      </c>
      <c r="R51" s="355">
        <f t="shared" si="27"/>
        <v>0</v>
      </c>
      <c r="S51" s="355">
        <f t="shared" si="27"/>
        <v>0</v>
      </c>
      <c r="T51" s="355">
        <f t="shared" si="27"/>
        <v>0</v>
      </c>
      <c r="U51" s="355">
        <f t="shared" si="27"/>
        <v>0</v>
      </c>
      <c r="V51" s="355">
        <f t="shared" si="27"/>
        <v>-8000</v>
      </c>
      <c r="W51" s="355">
        <f t="shared" si="27"/>
        <v>8000</v>
      </c>
      <c r="X51" s="355">
        <f t="shared" si="27"/>
        <v>0</v>
      </c>
      <c r="Y51" s="355">
        <f t="shared" si="27"/>
        <v>0</v>
      </c>
      <c r="Z51" s="355">
        <f t="shared" si="27"/>
        <v>8000</v>
      </c>
      <c r="AA51" s="355">
        <f t="shared" si="27"/>
        <v>0</v>
      </c>
      <c r="AB51" s="355">
        <f t="shared" si="27"/>
        <v>0</v>
      </c>
      <c r="AC51" s="355">
        <f t="shared" si="27"/>
        <v>-80</v>
      </c>
      <c r="AD51" s="355">
        <f t="shared" si="27"/>
        <v>0</v>
      </c>
      <c r="AE51" s="665">
        <f t="shared" si="27"/>
        <v>-80</v>
      </c>
      <c r="AF51" s="793">
        <f t="shared" si="27"/>
        <v>-9.9999999999999985E-3</v>
      </c>
      <c r="AG51" s="356">
        <f t="shared" si="27"/>
        <v>0</v>
      </c>
      <c r="AH51" s="356">
        <f t="shared" si="27"/>
        <v>0</v>
      </c>
      <c r="AI51" s="356">
        <f t="shared" si="27"/>
        <v>0</v>
      </c>
      <c r="AJ51" s="356">
        <f t="shared" si="27"/>
        <v>0</v>
      </c>
      <c r="AK51" s="356">
        <f t="shared" si="27"/>
        <v>0</v>
      </c>
      <c r="AL51" s="253">
        <f t="shared" si="27"/>
        <v>-9.9999999999999985E-3</v>
      </c>
      <c r="AM51" s="668">
        <f t="shared" si="27"/>
        <v>7772712</v>
      </c>
      <c r="AN51" s="355">
        <f t="shared" si="27"/>
        <v>5746255</v>
      </c>
      <c r="AO51" s="355">
        <f t="shared" si="27"/>
        <v>20000</v>
      </c>
      <c r="AP51" s="355">
        <f t="shared" si="27"/>
        <v>1948995</v>
      </c>
      <c r="AQ51" s="355">
        <f t="shared" si="27"/>
        <v>57462</v>
      </c>
      <c r="AR51" s="355">
        <f t="shared" si="27"/>
        <v>0</v>
      </c>
      <c r="AS51" s="253">
        <f t="shared" si="27"/>
        <v>9.8554999999999993</v>
      </c>
    </row>
    <row r="52" spans="1:47" ht="12.95" customHeight="1" x14ac:dyDescent="0.25">
      <c r="A52" s="205">
        <v>11</v>
      </c>
      <c r="B52" s="246">
        <v>5404</v>
      </c>
      <c r="C52" s="247">
        <v>600098974</v>
      </c>
      <c r="D52" s="206">
        <v>70979812</v>
      </c>
      <c r="E52" s="248" t="s">
        <v>355</v>
      </c>
      <c r="F52" s="206">
        <v>3111</v>
      </c>
      <c r="G52" s="248" t="s">
        <v>290</v>
      </c>
      <c r="H52" s="209" t="s">
        <v>262</v>
      </c>
      <c r="I52" s="610">
        <v>2196642</v>
      </c>
      <c r="J52" s="554">
        <v>1629557</v>
      </c>
      <c r="K52" s="554">
        <v>0</v>
      </c>
      <c r="L52" s="431">
        <v>550790</v>
      </c>
      <c r="M52" s="431">
        <v>16295</v>
      </c>
      <c r="N52" s="325">
        <v>0</v>
      </c>
      <c r="O52" s="718">
        <v>2.3065000000000002</v>
      </c>
      <c r="P52" s="327">
        <f t="shared" ref="P52:P55" si="28">W52*-1</f>
        <v>0</v>
      </c>
      <c r="Q52" s="492">
        <v>0</v>
      </c>
      <c r="R52" s="325">
        <v>0</v>
      </c>
      <c r="S52" s="325">
        <v>0</v>
      </c>
      <c r="T52" s="325">
        <v>0</v>
      </c>
      <c r="U52" s="325">
        <v>0</v>
      </c>
      <c r="V52" s="492">
        <f>P52+Q52+R52+S52+T52+U52</f>
        <v>0</v>
      </c>
      <c r="W52" s="325">
        <v>0</v>
      </c>
      <c r="X52" s="325">
        <v>0</v>
      </c>
      <c r="Y52" s="325">
        <v>0</v>
      </c>
      <c r="Z52" s="492">
        <f>W52+X52+Y52</f>
        <v>0</v>
      </c>
      <c r="AA52" s="492">
        <f>V52+Z52</f>
        <v>0</v>
      </c>
      <c r="AB52" s="494">
        <f>ROUND((V52+Z52)*33.8%,0)</f>
        <v>0</v>
      </c>
      <c r="AC52" s="494">
        <f>ROUND(V52*1%,0)</f>
        <v>0</v>
      </c>
      <c r="AD52" s="492">
        <v>0</v>
      </c>
      <c r="AE52" s="753">
        <f t="shared" ref="AE52:AE55" si="29">AA52+AB52+AC52+AD52</f>
        <v>0</v>
      </c>
      <c r="AF52" s="688">
        <v>0</v>
      </c>
      <c r="AG52" s="491">
        <v>0</v>
      </c>
      <c r="AH52" s="326">
        <v>0</v>
      </c>
      <c r="AI52" s="326">
        <v>0</v>
      </c>
      <c r="AJ52" s="326">
        <v>0</v>
      </c>
      <c r="AK52" s="326">
        <v>0</v>
      </c>
      <c r="AL52" s="609">
        <f>SUM(AF52:AK52)</f>
        <v>0</v>
      </c>
      <c r="AM52" s="676">
        <f>I52+AE52</f>
        <v>2196642</v>
      </c>
      <c r="AN52" s="492">
        <f>J52+V52</f>
        <v>1629557</v>
      </c>
      <c r="AO52" s="573">
        <f>K52+Z52</f>
        <v>0</v>
      </c>
      <c r="AP52" s="492">
        <f t="shared" ref="AP52:AR55" si="30">L52+AB52</f>
        <v>550790</v>
      </c>
      <c r="AQ52" s="492">
        <f t="shared" si="30"/>
        <v>16295</v>
      </c>
      <c r="AR52" s="492">
        <f t="shared" si="30"/>
        <v>0</v>
      </c>
      <c r="AS52" s="609">
        <f>O52+AL52</f>
        <v>2.3065000000000002</v>
      </c>
    </row>
    <row r="53" spans="1:47" ht="12.95" customHeight="1" x14ac:dyDescent="0.25">
      <c r="A53" s="205">
        <v>11</v>
      </c>
      <c r="B53" s="246">
        <v>5404</v>
      </c>
      <c r="C53" s="247">
        <v>600098974</v>
      </c>
      <c r="D53" s="206">
        <v>70979812</v>
      </c>
      <c r="E53" s="248" t="s">
        <v>355</v>
      </c>
      <c r="F53" s="206">
        <v>3117</v>
      </c>
      <c r="G53" s="248" t="s">
        <v>280</v>
      </c>
      <c r="H53" s="209" t="s">
        <v>262</v>
      </c>
      <c r="I53" s="580">
        <v>1873801</v>
      </c>
      <c r="J53" s="490">
        <v>1390060</v>
      </c>
      <c r="K53" s="554">
        <v>0</v>
      </c>
      <c r="L53" s="431">
        <v>469840</v>
      </c>
      <c r="M53" s="431">
        <v>13901</v>
      </c>
      <c r="N53" s="325">
        <v>0</v>
      </c>
      <c r="O53" s="719">
        <v>2.2273000000000001</v>
      </c>
      <c r="P53" s="327">
        <f t="shared" si="28"/>
        <v>0</v>
      </c>
      <c r="Q53" s="492">
        <v>0</v>
      </c>
      <c r="R53" s="325">
        <v>0</v>
      </c>
      <c r="S53" s="325">
        <v>0</v>
      </c>
      <c r="T53" s="325">
        <v>0</v>
      </c>
      <c r="U53" s="325">
        <v>0</v>
      </c>
      <c r="V53" s="492">
        <f>P53+Q53+R53+S53+T53+U53</f>
        <v>0</v>
      </c>
      <c r="W53" s="325">
        <v>0</v>
      </c>
      <c r="X53" s="325">
        <v>0</v>
      </c>
      <c r="Y53" s="325">
        <v>0</v>
      </c>
      <c r="Z53" s="492">
        <f>W53+X53+Y53</f>
        <v>0</v>
      </c>
      <c r="AA53" s="492">
        <f>V53+Z53</f>
        <v>0</v>
      </c>
      <c r="AB53" s="494">
        <f>ROUND((V53+Z53)*33.8%,0)</f>
        <v>0</v>
      </c>
      <c r="AC53" s="494">
        <f>ROUND(V53*1%,0)</f>
        <v>0</v>
      </c>
      <c r="AD53" s="492">
        <v>0</v>
      </c>
      <c r="AE53" s="753">
        <f t="shared" si="29"/>
        <v>0</v>
      </c>
      <c r="AF53" s="688">
        <v>0</v>
      </c>
      <c r="AG53" s="491">
        <v>0</v>
      </c>
      <c r="AH53" s="326">
        <v>0</v>
      </c>
      <c r="AI53" s="326">
        <v>0</v>
      </c>
      <c r="AJ53" s="326">
        <v>0</v>
      </c>
      <c r="AK53" s="326">
        <v>0</v>
      </c>
      <c r="AL53" s="609">
        <f>SUM(AF53:AK53)</f>
        <v>0</v>
      </c>
      <c r="AM53" s="676">
        <f>I53+AE53</f>
        <v>1873801</v>
      </c>
      <c r="AN53" s="492">
        <f>J53+V53</f>
        <v>1390060</v>
      </c>
      <c r="AO53" s="573">
        <f>K53+Z53</f>
        <v>0</v>
      </c>
      <c r="AP53" s="492">
        <f t="shared" si="30"/>
        <v>469840</v>
      </c>
      <c r="AQ53" s="492">
        <f t="shared" si="30"/>
        <v>13901</v>
      </c>
      <c r="AR53" s="492">
        <f t="shared" si="30"/>
        <v>0</v>
      </c>
      <c r="AS53" s="609">
        <f>O53+AL53</f>
        <v>2.2273000000000001</v>
      </c>
    </row>
    <row r="54" spans="1:47" ht="12.95" customHeight="1" x14ac:dyDescent="0.25">
      <c r="A54" s="205">
        <v>11</v>
      </c>
      <c r="B54" s="246">
        <v>5404</v>
      </c>
      <c r="C54" s="247">
        <v>600098974</v>
      </c>
      <c r="D54" s="206">
        <v>70979812</v>
      </c>
      <c r="E54" s="248" t="s">
        <v>355</v>
      </c>
      <c r="F54" s="206">
        <v>3117</v>
      </c>
      <c r="G54" s="248" t="s">
        <v>284</v>
      </c>
      <c r="H54" s="209" t="s">
        <v>263</v>
      </c>
      <c r="I54" s="580">
        <v>522339</v>
      </c>
      <c r="J54" s="490">
        <v>387492</v>
      </c>
      <c r="K54" s="554">
        <v>0</v>
      </c>
      <c r="L54" s="431">
        <v>130972</v>
      </c>
      <c r="M54" s="431">
        <v>3875</v>
      </c>
      <c r="N54" s="325">
        <v>0</v>
      </c>
      <c r="O54" s="719">
        <v>1.1400000000000001</v>
      </c>
      <c r="P54" s="327">
        <f t="shared" si="28"/>
        <v>0</v>
      </c>
      <c r="Q54" s="492">
        <v>0</v>
      </c>
      <c r="R54" s="325">
        <v>0</v>
      </c>
      <c r="S54" s="325">
        <v>0</v>
      </c>
      <c r="T54" s="325">
        <v>0</v>
      </c>
      <c r="U54" s="325">
        <v>0</v>
      </c>
      <c r="V54" s="492">
        <f>P54+Q54+R54+S54+T54+U54</f>
        <v>0</v>
      </c>
      <c r="W54" s="325">
        <v>0</v>
      </c>
      <c r="X54" s="325">
        <v>0</v>
      </c>
      <c r="Y54" s="325">
        <v>0</v>
      </c>
      <c r="Z54" s="492">
        <f>W54+X54+Y54</f>
        <v>0</v>
      </c>
      <c r="AA54" s="492">
        <f>V54+Z54</f>
        <v>0</v>
      </c>
      <c r="AB54" s="494">
        <f>ROUND((V54+Z54)*33.8%,0)</f>
        <v>0</v>
      </c>
      <c r="AC54" s="494">
        <f>ROUND(V54*1%,0)</f>
        <v>0</v>
      </c>
      <c r="AD54" s="492">
        <v>0</v>
      </c>
      <c r="AE54" s="753">
        <f t="shared" si="29"/>
        <v>0</v>
      </c>
      <c r="AF54" s="688">
        <v>0</v>
      </c>
      <c r="AG54" s="491">
        <v>0</v>
      </c>
      <c r="AH54" s="326">
        <v>0</v>
      </c>
      <c r="AI54" s="326">
        <v>0</v>
      </c>
      <c r="AJ54" s="326">
        <v>0</v>
      </c>
      <c r="AK54" s="326">
        <v>0</v>
      </c>
      <c r="AL54" s="609">
        <f>SUM(AF54:AK54)</f>
        <v>0</v>
      </c>
      <c r="AM54" s="676">
        <f>I54+AE54</f>
        <v>522339</v>
      </c>
      <c r="AN54" s="492">
        <f>J54+V54</f>
        <v>387492</v>
      </c>
      <c r="AO54" s="573">
        <f>K54+Z54</f>
        <v>0</v>
      </c>
      <c r="AP54" s="492">
        <f t="shared" si="30"/>
        <v>130972</v>
      </c>
      <c r="AQ54" s="492">
        <f t="shared" si="30"/>
        <v>3875</v>
      </c>
      <c r="AR54" s="492">
        <f t="shared" si="30"/>
        <v>0</v>
      </c>
      <c r="AS54" s="609">
        <f>O54+AL54</f>
        <v>1.1400000000000001</v>
      </c>
    </row>
    <row r="55" spans="1:47" ht="12.95" customHeight="1" x14ac:dyDescent="0.25">
      <c r="A55" s="205">
        <v>11</v>
      </c>
      <c r="B55" s="246">
        <v>5404</v>
      </c>
      <c r="C55" s="247">
        <v>600098974</v>
      </c>
      <c r="D55" s="206">
        <v>70979812</v>
      </c>
      <c r="E55" s="248" t="s">
        <v>355</v>
      </c>
      <c r="F55" s="206">
        <v>3143</v>
      </c>
      <c r="G55" s="248" t="s">
        <v>794</v>
      </c>
      <c r="H55" s="209" t="s">
        <v>262</v>
      </c>
      <c r="I55" s="580">
        <v>501308</v>
      </c>
      <c r="J55" s="490">
        <v>371890</v>
      </c>
      <c r="K55" s="554">
        <v>0</v>
      </c>
      <c r="L55" s="431">
        <v>125699</v>
      </c>
      <c r="M55" s="431">
        <v>3719</v>
      </c>
      <c r="N55" s="325">
        <v>0</v>
      </c>
      <c r="O55" s="719">
        <v>0.70520000000000005</v>
      </c>
      <c r="P55" s="327">
        <f t="shared" si="28"/>
        <v>0</v>
      </c>
      <c r="Q55" s="492">
        <v>0</v>
      </c>
      <c r="R55" s="325">
        <v>0</v>
      </c>
      <c r="S55" s="325">
        <v>0</v>
      </c>
      <c r="T55" s="325">
        <v>0</v>
      </c>
      <c r="U55" s="325">
        <v>0</v>
      </c>
      <c r="V55" s="492">
        <f>P55+Q55+R55+S55+T55+U55</f>
        <v>0</v>
      </c>
      <c r="W55" s="325">
        <v>0</v>
      </c>
      <c r="X55" s="325">
        <v>0</v>
      </c>
      <c r="Y55" s="325">
        <v>0</v>
      </c>
      <c r="Z55" s="492">
        <f>W55+X55+Y55</f>
        <v>0</v>
      </c>
      <c r="AA55" s="492">
        <f>V55+Z55</f>
        <v>0</v>
      </c>
      <c r="AB55" s="494">
        <f>ROUND((V55+Z55)*33.8%,0)</f>
        <v>0</v>
      </c>
      <c r="AC55" s="494">
        <f>ROUND(V55*1%,0)</f>
        <v>0</v>
      </c>
      <c r="AD55" s="492">
        <v>0</v>
      </c>
      <c r="AE55" s="753">
        <f t="shared" si="29"/>
        <v>0</v>
      </c>
      <c r="AF55" s="688">
        <v>0</v>
      </c>
      <c r="AG55" s="491">
        <v>0</v>
      </c>
      <c r="AH55" s="326">
        <v>0</v>
      </c>
      <c r="AI55" s="326">
        <v>0</v>
      </c>
      <c r="AJ55" s="326">
        <v>0</v>
      </c>
      <c r="AK55" s="326">
        <v>0</v>
      </c>
      <c r="AL55" s="609">
        <f>SUM(AF55:AK55)</f>
        <v>0</v>
      </c>
      <c r="AM55" s="676">
        <f>I55+AE55</f>
        <v>501308</v>
      </c>
      <c r="AN55" s="492">
        <f>J55+V55</f>
        <v>371890</v>
      </c>
      <c r="AO55" s="573">
        <f>K55+Z55</f>
        <v>0</v>
      </c>
      <c r="AP55" s="492">
        <f t="shared" si="30"/>
        <v>125699</v>
      </c>
      <c r="AQ55" s="492">
        <f t="shared" si="30"/>
        <v>3719</v>
      </c>
      <c r="AR55" s="492">
        <f t="shared" si="30"/>
        <v>0</v>
      </c>
      <c r="AS55" s="609">
        <f>O55+AL55</f>
        <v>0.70520000000000005</v>
      </c>
    </row>
    <row r="56" spans="1:47" ht="12.95" customHeight="1" x14ac:dyDescent="0.25">
      <c r="A56" s="249">
        <v>11</v>
      </c>
      <c r="B56" s="250">
        <v>5404</v>
      </c>
      <c r="C56" s="251">
        <v>600098974</v>
      </c>
      <c r="D56" s="250">
        <v>70979812</v>
      </c>
      <c r="E56" s="252" t="s">
        <v>356</v>
      </c>
      <c r="F56" s="216"/>
      <c r="G56" s="254"/>
      <c r="H56" s="217"/>
      <c r="I56" s="668">
        <v>5094090</v>
      </c>
      <c r="J56" s="355">
        <v>3778999</v>
      </c>
      <c r="K56" s="355">
        <v>0</v>
      </c>
      <c r="L56" s="355">
        <v>1277301</v>
      </c>
      <c r="M56" s="355">
        <v>37790</v>
      </c>
      <c r="N56" s="355">
        <v>0</v>
      </c>
      <c r="O56" s="780">
        <v>6.3789999999999996</v>
      </c>
      <c r="P56" s="668">
        <f t="shared" ref="P56:AS56" si="31">SUM(P52:P55)</f>
        <v>0</v>
      </c>
      <c r="Q56" s="355">
        <f t="shared" si="31"/>
        <v>0</v>
      </c>
      <c r="R56" s="355">
        <f t="shared" si="31"/>
        <v>0</v>
      </c>
      <c r="S56" s="355">
        <f t="shared" si="31"/>
        <v>0</v>
      </c>
      <c r="T56" s="355">
        <f t="shared" si="31"/>
        <v>0</v>
      </c>
      <c r="U56" s="355">
        <f t="shared" si="31"/>
        <v>0</v>
      </c>
      <c r="V56" s="355">
        <f t="shared" si="31"/>
        <v>0</v>
      </c>
      <c r="W56" s="355">
        <f t="shared" si="31"/>
        <v>0</v>
      </c>
      <c r="X56" s="355">
        <f t="shared" si="31"/>
        <v>0</v>
      </c>
      <c r="Y56" s="355">
        <f t="shared" si="31"/>
        <v>0</v>
      </c>
      <c r="Z56" s="355">
        <f t="shared" si="31"/>
        <v>0</v>
      </c>
      <c r="AA56" s="355">
        <f t="shared" si="31"/>
        <v>0</v>
      </c>
      <c r="AB56" s="355">
        <f t="shared" si="31"/>
        <v>0</v>
      </c>
      <c r="AC56" s="355">
        <f t="shared" si="31"/>
        <v>0</v>
      </c>
      <c r="AD56" s="355">
        <f t="shared" si="31"/>
        <v>0</v>
      </c>
      <c r="AE56" s="665">
        <f t="shared" si="31"/>
        <v>0</v>
      </c>
      <c r="AF56" s="793">
        <v>0</v>
      </c>
      <c r="AG56" s="356">
        <f t="shared" si="31"/>
        <v>0</v>
      </c>
      <c r="AH56" s="356">
        <f t="shared" si="31"/>
        <v>0</v>
      </c>
      <c r="AI56" s="356">
        <f t="shared" si="31"/>
        <v>0</v>
      </c>
      <c r="AJ56" s="356">
        <f t="shared" si="31"/>
        <v>0</v>
      </c>
      <c r="AK56" s="356">
        <f t="shared" si="31"/>
        <v>0</v>
      </c>
      <c r="AL56" s="253">
        <f t="shared" si="31"/>
        <v>0</v>
      </c>
      <c r="AM56" s="668">
        <f t="shared" si="31"/>
        <v>5094090</v>
      </c>
      <c r="AN56" s="355">
        <f t="shared" si="31"/>
        <v>3778999</v>
      </c>
      <c r="AO56" s="355">
        <f t="shared" si="31"/>
        <v>0</v>
      </c>
      <c r="AP56" s="355">
        <f t="shared" si="31"/>
        <v>1277301</v>
      </c>
      <c r="AQ56" s="355">
        <f t="shared" si="31"/>
        <v>37790</v>
      </c>
      <c r="AR56" s="355">
        <f t="shared" si="31"/>
        <v>0</v>
      </c>
      <c r="AS56" s="253">
        <f t="shared" si="31"/>
        <v>6.3789999999999996</v>
      </c>
    </row>
    <row r="57" spans="1:47" ht="12.95" customHeight="1" x14ac:dyDescent="0.25">
      <c r="A57" s="205">
        <v>12</v>
      </c>
      <c r="B57" s="246">
        <v>5407</v>
      </c>
      <c r="C57" s="247">
        <v>600099148</v>
      </c>
      <c r="D57" s="206">
        <v>70939403</v>
      </c>
      <c r="E57" s="248" t="s">
        <v>357</v>
      </c>
      <c r="F57" s="206">
        <v>3111</v>
      </c>
      <c r="G57" s="248" t="s">
        <v>290</v>
      </c>
      <c r="H57" s="209" t="s">
        <v>262</v>
      </c>
      <c r="I57" s="610">
        <v>2978564</v>
      </c>
      <c r="J57" s="554">
        <v>2209617</v>
      </c>
      <c r="K57" s="554">
        <v>0</v>
      </c>
      <c r="L57" s="431">
        <v>746851</v>
      </c>
      <c r="M57" s="431">
        <v>22096</v>
      </c>
      <c r="N57" s="325">
        <v>0</v>
      </c>
      <c r="O57" s="718">
        <v>3.871</v>
      </c>
      <c r="P57" s="327">
        <f t="shared" ref="P57:P60" si="32">W57*-1</f>
        <v>0</v>
      </c>
      <c r="Q57" s="492">
        <v>0</v>
      </c>
      <c r="R57" s="325">
        <v>0</v>
      </c>
      <c r="S57" s="325">
        <v>0</v>
      </c>
      <c r="T57" s="325">
        <v>0</v>
      </c>
      <c r="U57" s="325">
        <v>0</v>
      </c>
      <c r="V57" s="492">
        <f>P57+Q57+R57+S57+T57+U57</f>
        <v>0</v>
      </c>
      <c r="W57" s="325">
        <v>0</v>
      </c>
      <c r="X57" s="325">
        <v>0</v>
      </c>
      <c r="Y57" s="325">
        <v>0</v>
      </c>
      <c r="Z57" s="492">
        <f>W57+X57+Y57</f>
        <v>0</v>
      </c>
      <c r="AA57" s="492">
        <f>V57+Z57</f>
        <v>0</v>
      </c>
      <c r="AB57" s="494">
        <f>ROUND((V57+Z57)*33.8%,0)</f>
        <v>0</v>
      </c>
      <c r="AC57" s="494">
        <f>ROUND(V57*1%,0)</f>
        <v>0</v>
      </c>
      <c r="AD57" s="492">
        <v>0</v>
      </c>
      <c r="AE57" s="753">
        <f t="shared" ref="AE57:AE60" si="33">AA57+AB57+AC57+AD57</f>
        <v>0</v>
      </c>
      <c r="AF57" s="688">
        <v>0</v>
      </c>
      <c r="AG57" s="491">
        <v>0</v>
      </c>
      <c r="AH57" s="326">
        <v>0</v>
      </c>
      <c r="AI57" s="326">
        <v>0</v>
      </c>
      <c r="AJ57" s="326">
        <v>0</v>
      </c>
      <c r="AK57" s="326">
        <v>0</v>
      </c>
      <c r="AL57" s="609">
        <f>SUM(AF57:AK57)</f>
        <v>0</v>
      </c>
      <c r="AM57" s="676">
        <f>I57+AE57</f>
        <v>2978564</v>
      </c>
      <c r="AN57" s="492">
        <f>J57+V57</f>
        <v>2209617</v>
      </c>
      <c r="AO57" s="573">
        <f>K57+Z57</f>
        <v>0</v>
      </c>
      <c r="AP57" s="492">
        <f t="shared" ref="AP57:AR60" si="34">L57+AB57</f>
        <v>746851</v>
      </c>
      <c r="AQ57" s="492">
        <f t="shared" si="34"/>
        <v>22096</v>
      </c>
      <c r="AR57" s="492">
        <f t="shared" si="34"/>
        <v>0</v>
      </c>
      <c r="AS57" s="609">
        <f>O57+AL57</f>
        <v>3.871</v>
      </c>
    </row>
    <row r="58" spans="1:47" ht="12.95" customHeight="1" x14ac:dyDescent="0.25">
      <c r="A58" s="205">
        <v>12</v>
      </c>
      <c r="B58" s="246">
        <v>5407</v>
      </c>
      <c r="C58" s="247">
        <v>600099148</v>
      </c>
      <c r="D58" s="206">
        <v>70939403</v>
      </c>
      <c r="E58" s="248" t="s">
        <v>357</v>
      </c>
      <c r="F58" s="206">
        <v>3113</v>
      </c>
      <c r="G58" s="248" t="s">
        <v>294</v>
      </c>
      <c r="H58" s="209" t="s">
        <v>262</v>
      </c>
      <c r="I58" s="580">
        <v>8611199</v>
      </c>
      <c r="J58" s="490">
        <v>6382175</v>
      </c>
      <c r="K58" s="554">
        <v>6000</v>
      </c>
      <c r="L58" s="431">
        <v>2159202</v>
      </c>
      <c r="M58" s="431">
        <v>63822</v>
      </c>
      <c r="N58" s="325">
        <v>0</v>
      </c>
      <c r="O58" s="719">
        <v>9.366200000000001</v>
      </c>
      <c r="P58" s="327">
        <f t="shared" si="32"/>
        <v>-4000</v>
      </c>
      <c r="Q58" s="492">
        <v>0</v>
      </c>
      <c r="R58" s="325">
        <v>0</v>
      </c>
      <c r="S58" s="325">
        <v>0</v>
      </c>
      <c r="T58" s="325">
        <v>0</v>
      </c>
      <c r="U58" s="325">
        <v>0</v>
      </c>
      <c r="V58" s="492">
        <f>P58+Q58+R58+S58+T58+U58</f>
        <v>-4000</v>
      </c>
      <c r="W58" s="325">
        <v>4000</v>
      </c>
      <c r="X58" s="325">
        <v>0</v>
      </c>
      <c r="Y58" s="325">
        <v>0</v>
      </c>
      <c r="Z58" s="492">
        <f>W58+X58+Y58</f>
        <v>4000</v>
      </c>
      <c r="AA58" s="492">
        <f>V58+Z58</f>
        <v>0</v>
      </c>
      <c r="AB58" s="494">
        <f>ROUND((V58+Z58)*33.8%,0)</f>
        <v>0</v>
      </c>
      <c r="AC58" s="494">
        <f>ROUND(V58*1%,0)</f>
        <v>-40</v>
      </c>
      <c r="AD58" s="492">
        <v>0</v>
      </c>
      <c r="AE58" s="753">
        <f t="shared" si="33"/>
        <v>-40</v>
      </c>
      <c r="AF58" s="688">
        <v>0</v>
      </c>
      <c r="AG58" s="491">
        <v>0</v>
      </c>
      <c r="AH58" s="326">
        <v>0</v>
      </c>
      <c r="AI58" s="326">
        <v>0</v>
      </c>
      <c r="AJ58" s="326">
        <v>0</v>
      </c>
      <c r="AK58" s="326">
        <v>0</v>
      </c>
      <c r="AL58" s="609">
        <f>SUM(AF58:AK58)</f>
        <v>0</v>
      </c>
      <c r="AM58" s="676">
        <f>I58+AE58</f>
        <v>8611159</v>
      </c>
      <c r="AN58" s="492">
        <f>J58+V58</f>
        <v>6378175</v>
      </c>
      <c r="AO58" s="573">
        <f>K58+Z58</f>
        <v>10000</v>
      </c>
      <c r="AP58" s="492">
        <f t="shared" si="34"/>
        <v>2159202</v>
      </c>
      <c r="AQ58" s="492">
        <f t="shared" si="34"/>
        <v>63782</v>
      </c>
      <c r="AR58" s="492">
        <f t="shared" si="34"/>
        <v>0</v>
      </c>
      <c r="AS58" s="609">
        <f>O58+AL58</f>
        <v>9.366200000000001</v>
      </c>
    </row>
    <row r="59" spans="1:47" ht="12.95" customHeight="1" x14ac:dyDescent="0.25">
      <c r="A59" s="205">
        <v>12</v>
      </c>
      <c r="B59" s="246">
        <v>5407</v>
      </c>
      <c r="C59" s="247">
        <v>600099148</v>
      </c>
      <c r="D59" s="206">
        <v>70939403</v>
      </c>
      <c r="E59" s="248" t="s">
        <v>357</v>
      </c>
      <c r="F59" s="206">
        <v>3113</v>
      </c>
      <c r="G59" s="248" t="s">
        <v>284</v>
      </c>
      <c r="H59" s="209" t="s">
        <v>263</v>
      </c>
      <c r="I59" s="580">
        <v>1629167</v>
      </c>
      <c r="J59" s="490">
        <v>1208581</v>
      </c>
      <c r="K59" s="554">
        <v>0</v>
      </c>
      <c r="L59" s="431">
        <v>408500</v>
      </c>
      <c r="M59" s="431">
        <v>12086</v>
      </c>
      <c r="N59" s="325">
        <v>0</v>
      </c>
      <c r="O59" s="719">
        <v>2.7399999999999998</v>
      </c>
      <c r="P59" s="327">
        <f t="shared" si="32"/>
        <v>0</v>
      </c>
      <c r="Q59" s="492">
        <v>0</v>
      </c>
      <c r="R59" s="325">
        <v>0</v>
      </c>
      <c r="S59" s="325">
        <v>0</v>
      </c>
      <c r="T59" s="325">
        <v>0</v>
      </c>
      <c r="U59" s="325">
        <v>0</v>
      </c>
      <c r="V59" s="492">
        <f>P59+Q59+R59+S59+T59+U59</f>
        <v>0</v>
      </c>
      <c r="W59" s="325">
        <v>0</v>
      </c>
      <c r="X59" s="325">
        <v>0</v>
      </c>
      <c r="Y59" s="325">
        <v>0</v>
      </c>
      <c r="Z59" s="492">
        <f>W59+X59+Y59</f>
        <v>0</v>
      </c>
      <c r="AA59" s="492">
        <f>V59+Z59</f>
        <v>0</v>
      </c>
      <c r="AB59" s="494">
        <f>ROUND((V59+Z59)*33.8%,0)</f>
        <v>0</v>
      </c>
      <c r="AC59" s="494">
        <f>ROUND(V59*1%,0)</f>
        <v>0</v>
      </c>
      <c r="AD59" s="492">
        <v>0</v>
      </c>
      <c r="AE59" s="753">
        <f t="shared" si="33"/>
        <v>0</v>
      </c>
      <c r="AF59" s="688">
        <v>0</v>
      </c>
      <c r="AG59" s="491">
        <v>0</v>
      </c>
      <c r="AH59" s="326">
        <v>0</v>
      </c>
      <c r="AI59" s="326">
        <v>0</v>
      </c>
      <c r="AJ59" s="326">
        <v>0</v>
      </c>
      <c r="AK59" s="326">
        <v>0</v>
      </c>
      <c r="AL59" s="609">
        <f>SUM(AF59:AK59)</f>
        <v>0</v>
      </c>
      <c r="AM59" s="676">
        <f>I59+AE59</f>
        <v>1629167</v>
      </c>
      <c r="AN59" s="492">
        <f>J59+V59</f>
        <v>1208581</v>
      </c>
      <c r="AO59" s="573">
        <f>K59+Z59</f>
        <v>0</v>
      </c>
      <c r="AP59" s="492">
        <f t="shared" si="34"/>
        <v>408500</v>
      </c>
      <c r="AQ59" s="492">
        <f t="shared" si="34"/>
        <v>12086</v>
      </c>
      <c r="AR59" s="492">
        <f t="shared" si="34"/>
        <v>0</v>
      </c>
      <c r="AS59" s="609">
        <f>O59+AL59</f>
        <v>2.7399999999999998</v>
      </c>
    </row>
    <row r="60" spans="1:47" ht="12.95" customHeight="1" x14ac:dyDescent="0.25">
      <c r="A60" s="205">
        <v>12</v>
      </c>
      <c r="B60" s="246">
        <v>5407</v>
      </c>
      <c r="C60" s="247">
        <v>600099148</v>
      </c>
      <c r="D60" s="206">
        <v>70939403</v>
      </c>
      <c r="E60" s="248" t="s">
        <v>357</v>
      </c>
      <c r="F60" s="206">
        <v>3143</v>
      </c>
      <c r="G60" s="248" t="s">
        <v>794</v>
      </c>
      <c r="H60" s="209" t="s">
        <v>262</v>
      </c>
      <c r="I60" s="580">
        <v>466730</v>
      </c>
      <c r="J60" s="490">
        <v>346239</v>
      </c>
      <c r="K60" s="554">
        <v>0</v>
      </c>
      <c r="L60" s="431">
        <v>117029</v>
      </c>
      <c r="M60" s="431">
        <v>3462</v>
      </c>
      <c r="N60" s="325">
        <v>0</v>
      </c>
      <c r="O60" s="719">
        <v>0.65</v>
      </c>
      <c r="P60" s="327">
        <f t="shared" si="32"/>
        <v>0</v>
      </c>
      <c r="Q60" s="492">
        <v>0</v>
      </c>
      <c r="R60" s="325">
        <v>0</v>
      </c>
      <c r="S60" s="325">
        <v>0</v>
      </c>
      <c r="T60" s="325">
        <v>0</v>
      </c>
      <c r="U60" s="325">
        <v>0</v>
      </c>
      <c r="V60" s="492">
        <f>P60+Q60+R60+S60+T60+U60</f>
        <v>0</v>
      </c>
      <c r="W60" s="325">
        <v>0</v>
      </c>
      <c r="X60" s="325">
        <v>0</v>
      </c>
      <c r="Y60" s="325">
        <v>0</v>
      </c>
      <c r="Z60" s="492">
        <f>W60+X60+Y60</f>
        <v>0</v>
      </c>
      <c r="AA60" s="492">
        <f>V60+Z60</f>
        <v>0</v>
      </c>
      <c r="AB60" s="494">
        <f>ROUND((V60+Z60)*33.8%,0)</f>
        <v>0</v>
      </c>
      <c r="AC60" s="494">
        <f>ROUND(V60*1%,0)</f>
        <v>0</v>
      </c>
      <c r="AD60" s="492">
        <v>0</v>
      </c>
      <c r="AE60" s="753">
        <f t="shared" si="33"/>
        <v>0</v>
      </c>
      <c r="AF60" s="688">
        <v>0</v>
      </c>
      <c r="AG60" s="491">
        <v>0</v>
      </c>
      <c r="AH60" s="326">
        <v>0</v>
      </c>
      <c r="AI60" s="326">
        <v>0</v>
      </c>
      <c r="AJ60" s="326">
        <v>0</v>
      </c>
      <c r="AK60" s="326">
        <v>0</v>
      </c>
      <c r="AL60" s="609">
        <f>SUM(AF60:AK60)</f>
        <v>0</v>
      </c>
      <c r="AM60" s="676">
        <f>I60+AE60</f>
        <v>466730</v>
      </c>
      <c r="AN60" s="492">
        <f>J60+V60</f>
        <v>346239</v>
      </c>
      <c r="AO60" s="573">
        <f>K60+Z60</f>
        <v>0</v>
      </c>
      <c r="AP60" s="492">
        <f t="shared" si="34"/>
        <v>117029</v>
      </c>
      <c r="AQ60" s="492">
        <f t="shared" si="34"/>
        <v>3462</v>
      </c>
      <c r="AR60" s="492">
        <f t="shared" si="34"/>
        <v>0</v>
      </c>
      <c r="AS60" s="609">
        <f>O60+AL60</f>
        <v>0.65</v>
      </c>
    </row>
    <row r="61" spans="1:47" ht="12.95" customHeight="1" x14ac:dyDescent="0.25">
      <c r="A61" s="249">
        <v>12</v>
      </c>
      <c r="B61" s="250">
        <v>5407</v>
      </c>
      <c r="C61" s="251">
        <v>600099148</v>
      </c>
      <c r="D61" s="250">
        <v>70939403</v>
      </c>
      <c r="E61" s="252" t="s">
        <v>358</v>
      </c>
      <c r="F61" s="216"/>
      <c r="G61" s="254"/>
      <c r="H61" s="217"/>
      <c r="I61" s="668">
        <v>13685660</v>
      </c>
      <c r="J61" s="355">
        <v>10146612</v>
      </c>
      <c r="K61" s="355">
        <v>6000</v>
      </c>
      <c r="L61" s="355">
        <v>3431582</v>
      </c>
      <c r="M61" s="355">
        <v>101466</v>
      </c>
      <c r="N61" s="355">
        <v>0</v>
      </c>
      <c r="O61" s="780">
        <v>16.627200000000002</v>
      </c>
      <c r="P61" s="668">
        <f t="shared" ref="P61:AS61" si="35">SUM(P57:P60)</f>
        <v>-4000</v>
      </c>
      <c r="Q61" s="355">
        <f t="shared" si="35"/>
        <v>0</v>
      </c>
      <c r="R61" s="355">
        <f t="shared" si="35"/>
        <v>0</v>
      </c>
      <c r="S61" s="355">
        <f t="shared" si="35"/>
        <v>0</v>
      </c>
      <c r="T61" s="355">
        <f t="shared" si="35"/>
        <v>0</v>
      </c>
      <c r="U61" s="355">
        <f t="shared" si="35"/>
        <v>0</v>
      </c>
      <c r="V61" s="355">
        <f t="shared" si="35"/>
        <v>-4000</v>
      </c>
      <c r="W61" s="355">
        <f t="shared" si="35"/>
        <v>4000</v>
      </c>
      <c r="X61" s="355">
        <f t="shared" si="35"/>
        <v>0</v>
      </c>
      <c r="Y61" s="355">
        <f t="shared" si="35"/>
        <v>0</v>
      </c>
      <c r="Z61" s="355">
        <f t="shared" si="35"/>
        <v>4000</v>
      </c>
      <c r="AA61" s="355">
        <f t="shared" si="35"/>
        <v>0</v>
      </c>
      <c r="AB61" s="355">
        <f t="shared" si="35"/>
        <v>0</v>
      </c>
      <c r="AC61" s="355">
        <f t="shared" si="35"/>
        <v>-40</v>
      </c>
      <c r="AD61" s="355">
        <f t="shared" si="35"/>
        <v>0</v>
      </c>
      <c r="AE61" s="665">
        <f t="shared" si="35"/>
        <v>-40</v>
      </c>
      <c r="AF61" s="793">
        <f t="shared" si="35"/>
        <v>0</v>
      </c>
      <c r="AG61" s="356">
        <f t="shared" si="35"/>
        <v>0</v>
      </c>
      <c r="AH61" s="356">
        <f t="shared" si="35"/>
        <v>0</v>
      </c>
      <c r="AI61" s="356">
        <f t="shared" si="35"/>
        <v>0</v>
      </c>
      <c r="AJ61" s="356">
        <f t="shared" si="35"/>
        <v>0</v>
      </c>
      <c r="AK61" s="356">
        <f t="shared" si="35"/>
        <v>0</v>
      </c>
      <c r="AL61" s="253">
        <f t="shared" si="35"/>
        <v>0</v>
      </c>
      <c r="AM61" s="668">
        <f t="shared" si="35"/>
        <v>13685620</v>
      </c>
      <c r="AN61" s="355">
        <f t="shared" si="35"/>
        <v>10142612</v>
      </c>
      <c r="AO61" s="355">
        <f t="shared" si="35"/>
        <v>10000</v>
      </c>
      <c r="AP61" s="355">
        <f t="shared" si="35"/>
        <v>3431582</v>
      </c>
      <c r="AQ61" s="355">
        <f t="shared" si="35"/>
        <v>101426</v>
      </c>
      <c r="AR61" s="355">
        <f t="shared" si="35"/>
        <v>0</v>
      </c>
      <c r="AS61" s="253">
        <f t="shared" si="35"/>
        <v>16.627200000000002</v>
      </c>
    </row>
    <row r="62" spans="1:47" ht="12.95" customHeight="1" x14ac:dyDescent="0.25">
      <c r="A62" s="205">
        <v>13</v>
      </c>
      <c r="B62" s="246">
        <v>5411</v>
      </c>
      <c r="C62" s="247">
        <v>650034244</v>
      </c>
      <c r="D62" s="206">
        <v>70985375</v>
      </c>
      <c r="E62" s="248" t="s">
        <v>359</v>
      </c>
      <c r="F62" s="206">
        <v>3111</v>
      </c>
      <c r="G62" s="248" t="s">
        <v>290</v>
      </c>
      <c r="H62" s="209" t="s">
        <v>262</v>
      </c>
      <c r="I62" s="610">
        <v>1706898</v>
      </c>
      <c r="J62" s="554">
        <v>1251356</v>
      </c>
      <c r="K62" s="554">
        <v>15000</v>
      </c>
      <c r="L62" s="431">
        <v>428028</v>
      </c>
      <c r="M62" s="431">
        <v>12514</v>
      </c>
      <c r="N62" s="325">
        <v>0</v>
      </c>
      <c r="O62" s="718">
        <v>2</v>
      </c>
      <c r="P62" s="327">
        <f t="shared" ref="P62:P65" si="36">W62*-1</f>
        <v>-10000</v>
      </c>
      <c r="Q62" s="492">
        <v>0</v>
      </c>
      <c r="R62" s="325">
        <v>0</v>
      </c>
      <c r="S62" s="325">
        <v>0</v>
      </c>
      <c r="T62" s="325">
        <v>0</v>
      </c>
      <c r="U62" s="325">
        <v>0</v>
      </c>
      <c r="V62" s="492">
        <f>P62+Q62+R62+S62+T62+U62</f>
        <v>-10000</v>
      </c>
      <c r="W62" s="325">
        <v>10000</v>
      </c>
      <c r="X62" s="325">
        <v>0</v>
      </c>
      <c r="Y62" s="325">
        <v>0</v>
      </c>
      <c r="Z62" s="492">
        <f>W62+X62+Y62</f>
        <v>10000</v>
      </c>
      <c r="AA62" s="492">
        <f>V62+Z62</f>
        <v>0</v>
      </c>
      <c r="AB62" s="494">
        <f>ROUND((V62+Z62)*33.8%,0)</f>
        <v>0</v>
      </c>
      <c r="AC62" s="494">
        <f>ROUND(V62*1%,0)</f>
        <v>-100</v>
      </c>
      <c r="AD62" s="492">
        <v>0</v>
      </c>
      <c r="AE62" s="753">
        <f t="shared" ref="AE62:AE65" si="37">AA62+AB62+AC62+AD62</f>
        <v>-100</v>
      </c>
      <c r="AF62" s="688">
        <v>0</v>
      </c>
      <c r="AG62" s="491">
        <v>0</v>
      </c>
      <c r="AH62" s="326">
        <v>0</v>
      </c>
      <c r="AI62" s="326">
        <v>0</v>
      </c>
      <c r="AJ62" s="326">
        <v>0</v>
      </c>
      <c r="AK62" s="326">
        <v>0</v>
      </c>
      <c r="AL62" s="609">
        <f>SUM(AF62:AK62)</f>
        <v>0</v>
      </c>
      <c r="AM62" s="676">
        <f>I62+AE62</f>
        <v>1706798</v>
      </c>
      <c r="AN62" s="492">
        <f>J62+V62</f>
        <v>1241356</v>
      </c>
      <c r="AO62" s="573">
        <f>K62+Z62</f>
        <v>25000</v>
      </c>
      <c r="AP62" s="492">
        <f t="shared" ref="AP62:AR65" si="38">L62+AB62</f>
        <v>428028</v>
      </c>
      <c r="AQ62" s="492">
        <f t="shared" si="38"/>
        <v>12414</v>
      </c>
      <c r="AR62" s="492">
        <f t="shared" si="38"/>
        <v>0</v>
      </c>
      <c r="AS62" s="609">
        <f>O62+AL62</f>
        <v>2</v>
      </c>
      <c r="AU62" s="239"/>
    </row>
    <row r="63" spans="1:47" ht="12.95" customHeight="1" x14ac:dyDescent="0.25">
      <c r="A63" s="205">
        <v>13</v>
      </c>
      <c r="B63" s="246">
        <v>5411</v>
      </c>
      <c r="C63" s="247">
        <v>650034244</v>
      </c>
      <c r="D63" s="206">
        <v>70985375</v>
      </c>
      <c r="E63" s="248" t="s">
        <v>359</v>
      </c>
      <c r="F63" s="206">
        <v>3117</v>
      </c>
      <c r="G63" s="248" t="s">
        <v>280</v>
      </c>
      <c r="H63" s="209" t="s">
        <v>262</v>
      </c>
      <c r="I63" s="580">
        <v>2823843</v>
      </c>
      <c r="J63" s="490">
        <v>2067444</v>
      </c>
      <c r="K63" s="554">
        <v>27600</v>
      </c>
      <c r="L63" s="431">
        <v>708125</v>
      </c>
      <c r="M63" s="431">
        <v>20674</v>
      </c>
      <c r="N63" s="325">
        <v>0</v>
      </c>
      <c r="O63" s="719">
        <v>2.99</v>
      </c>
      <c r="P63" s="327">
        <f t="shared" si="36"/>
        <v>-18400</v>
      </c>
      <c r="Q63" s="492">
        <v>0</v>
      </c>
      <c r="R63" s="325">
        <v>0</v>
      </c>
      <c r="S63" s="325">
        <v>0</v>
      </c>
      <c r="T63" s="325">
        <v>0</v>
      </c>
      <c r="U63" s="325">
        <v>0</v>
      </c>
      <c r="V63" s="492">
        <f>P63+Q63+R63+S63+T63+U63</f>
        <v>-18400</v>
      </c>
      <c r="W63" s="325">
        <v>18400</v>
      </c>
      <c r="X63" s="325">
        <v>0</v>
      </c>
      <c r="Y63" s="325">
        <v>0</v>
      </c>
      <c r="Z63" s="492">
        <f>W63+X63+Y63</f>
        <v>18400</v>
      </c>
      <c r="AA63" s="492">
        <f>V63+Z63</f>
        <v>0</v>
      </c>
      <c r="AB63" s="494">
        <f>ROUND((V63+Z63)*33.8%,0)</f>
        <v>0</v>
      </c>
      <c r="AC63" s="494">
        <f>ROUND(V63*1%,0)</f>
        <v>-184</v>
      </c>
      <c r="AD63" s="492">
        <v>0</v>
      </c>
      <c r="AE63" s="753">
        <f t="shared" si="37"/>
        <v>-184</v>
      </c>
      <c r="AF63" s="688">
        <v>-0.01</v>
      </c>
      <c r="AG63" s="491">
        <v>0</v>
      </c>
      <c r="AH63" s="326">
        <v>0</v>
      </c>
      <c r="AI63" s="326">
        <v>0</v>
      </c>
      <c r="AJ63" s="326">
        <v>0</v>
      </c>
      <c r="AK63" s="326">
        <v>0</v>
      </c>
      <c r="AL63" s="609">
        <f>SUM(AF63:AK63)</f>
        <v>-0.01</v>
      </c>
      <c r="AM63" s="676">
        <f>I63+AE63</f>
        <v>2823659</v>
      </c>
      <c r="AN63" s="492">
        <f>J63+V63</f>
        <v>2049044</v>
      </c>
      <c r="AO63" s="573">
        <f>K63+Z63</f>
        <v>46000</v>
      </c>
      <c r="AP63" s="492">
        <f t="shared" si="38"/>
        <v>708125</v>
      </c>
      <c r="AQ63" s="492">
        <f t="shared" si="38"/>
        <v>20490</v>
      </c>
      <c r="AR63" s="492">
        <f t="shared" si="38"/>
        <v>0</v>
      </c>
      <c r="AS63" s="609">
        <f>O63+AL63</f>
        <v>2.9800000000000004</v>
      </c>
    </row>
    <row r="64" spans="1:47" ht="12.95" customHeight="1" x14ac:dyDescent="0.25">
      <c r="A64" s="205">
        <v>13</v>
      </c>
      <c r="B64" s="246">
        <v>5411</v>
      </c>
      <c r="C64" s="247">
        <v>650034244</v>
      </c>
      <c r="D64" s="206">
        <v>70985375</v>
      </c>
      <c r="E64" s="248" t="s">
        <v>359</v>
      </c>
      <c r="F64" s="206">
        <v>3117</v>
      </c>
      <c r="G64" s="248" t="s">
        <v>284</v>
      </c>
      <c r="H64" s="209" t="s">
        <v>263</v>
      </c>
      <c r="I64" s="580">
        <v>267475</v>
      </c>
      <c r="J64" s="490">
        <v>198424</v>
      </c>
      <c r="K64" s="554">
        <v>0</v>
      </c>
      <c r="L64" s="431">
        <v>67067</v>
      </c>
      <c r="M64" s="431">
        <v>1984</v>
      </c>
      <c r="N64" s="325">
        <v>0</v>
      </c>
      <c r="O64" s="719">
        <v>0.5</v>
      </c>
      <c r="P64" s="327">
        <f t="shared" si="36"/>
        <v>0</v>
      </c>
      <c r="Q64" s="492">
        <v>74409</v>
      </c>
      <c r="R64" s="325">
        <v>0</v>
      </c>
      <c r="S64" s="325">
        <v>0</v>
      </c>
      <c r="T64" s="325">
        <v>0</v>
      </c>
      <c r="U64" s="325">
        <v>0</v>
      </c>
      <c r="V64" s="492">
        <f>P64+Q64+R64+S64+T64+U64</f>
        <v>74409</v>
      </c>
      <c r="W64" s="325">
        <v>0</v>
      </c>
      <c r="X64" s="325">
        <v>0</v>
      </c>
      <c r="Y64" s="325">
        <v>0</v>
      </c>
      <c r="Z64" s="492">
        <f>W64+X64+Y64</f>
        <v>0</v>
      </c>
      <c r="AA64" s="492">
        <f>V64+Z64</f>
        <v>74409</v>
      </c>
      <c r="AB64" s="494">
        <f>ROUND((V64+Z64)*33.8%,0)</f>
        <v>25150</v>
      </c>
      <c r="AC64" s="494">
        <f>ROUND(V64*1%,0)</f>
        <v>744</v>
      </c>
      <c r="AD64" s="492">
        <v>0</v>
      </c>
      <c r="AE64" s="753">
        <f t="shared" si="37"/>
        <v>100303</v>
      </c>
      <c r="AF64" s="688">
        <v>0</v>
      </c>
      <c r="AG64" s="491">
        <v>0.19</v>
      </c>
      <c r="AH64" s="326">
        <v>0</v>
      </c>
      <c r="AI64" s="326">
        <v>0</v>
      </c>
      <c r="AJ64" s="326">
        <v>0</v>
      </c>
      <c r="AK64" s="326">
        <v>0</v>
      </c>
      <c r="AL64" s="609">
        <f>SUM(AF64:AK64)</f>
        <v>0.19</v>
      </c>
      <c r="AM64" s="676">
        <f>I64+AE64</f>
        <v>367778</v>
      </c>
      <c r="AN64" s="492">
        <f>J64+V64</f>
        <v>272833</v>
      </c>
      <c r="AO64" s="573">
        <f>K64+Z64</f>
        <v>0</v>
      </c>
      <c r="AP64" s="492">
        <f t="shared" si="38"/>
        <v>92217</v>
      </c>
      <c r="AQ64" s="492">
        <f t="shared" si="38"/>
        <v>2728</v>
      </c>
      <c r="AR64" s="492">
        <f t="shared" si="38"/>
        <v>0</v>
      </c>
      <c r="AS64" s="609">
        <f>O64+AL64</f>
        <v>0.69</v>
      </c>
    </row>
    <row r="65" spans="1:45" ht="12.95" customHeight="1" x14ac:dyDescent="0.25">
      <c r="A65" s="205">
        <v>13</v>
      </c>
      <c r="B65" s="246">
        <v>5411</v>
      </c>
      <c r="C65" s="247">
        <v>650034244</v>
      </c>
      <c r="D65" s="206">
        <v>70985375</v>
      </c>
      <c r="E65" s="248" t="s">
        <v>359</v>
      </c>
      <c r="F65" s="206">
        <v>3143</v>
      </c>
      <c r="G65" s="248" t="s">
        <v>795</v>
      </c>
      <c r="H65" s="209" t="s">
        <v>262</v>
      </c>
      <c r="I65" s="580">
        <v>637396</v>
      </c>
      <c r="J65" s="490">
        <v>472846</v>
      </c>
      <c r="K65" s="554">
        <v>0</v>
      </c>
      <c r="L65" s="431">
        <v>159822</v>
      </c>
      <c r="M65" s="431">
        <v>4728</v>
      </c>
      <c r="N65" s="325">
        <v>0</v>
      </c>
      <c r="O65" s="719">
        <v>0.89839999999999998</v>
      </c>
      <c r="P65" s="327">
        <f t="shared" si="36"/>
        <v>0</v>
      </c>
      <c r="Q65" s="492">
        <v>0</v>
      </c>
      <c r="R65" s="325">
        <v>0</v>
      </c>
      <c r="S65" s="325">
        <v>0</v>
      </c>
      <c r="T65" s="325">
        <v>0</v>
      </c>
      <c r="U65" s="325">
        <v>0</v>
      </c>
      <c r="V65" s="492">
        <f>P65+Q65+R65+S65+T65+U65</f>
        <v>0</v>
      </c>
      <c r="W65" s="325">
        <v>0</v>
      </c>
      <c r="X65" s="325">
        <v>0</v>
      </c>
      <c r="Y65" s="325">
        <v>0</v>
      </c>
      <c r="Z65" s="492">
        <f>W65+X65+Y65</f>
        <v>0</v>
      </c>
      <c r="AA65" s="492">
        <f>V65+Z65</f>
        <v>0</v>
      </c>
      <c r="AB65" s="494">
        <f>ROUND((V65+Z65)*33.8%,0)</f>
        <v>0</v>
      </c>
      <c r="AC65" s="494">
        <f>ROUND(V65*1%,0)</f>
        <v>0</v>
      </c>
      <c r="AD65" s="492">
        <v>0</v>
      </c>
      <c r="AE65" s="753">
        <f t="shared" si="37"/>
        <v>0</v>
      </c>
      <c r="AF65" s="688">
        <v>0</v>
      </c>
      <c r="AG65" s="491">
        <v>0</v>
      </c>
      <c r="AH65" s="326">
        <v>0</v>
      </c>
      <c r="AI65" s="326">
        <v>0</v>
      </c>
      <c r="AJ65" s="326">
        <v>0</v>
      </c>
      <c r="AK65" s="326">
        <v>0</v>
      </c>
      <c r="AL65" s="609">
        <f>SUM(AF65:AK65)</f>
        <v>0</v>
      </c>
      <c r="AM65" s="676">
        <f>I65+AE65</f>
        <v>637396</v>
      </c>
      <c r="AN65" s="492">
        <f>J65+V65</f>
        <v>472846</v>
      </c>
      <c r="AO65" s="573">
        <f>K65+Z65</f>
        <v>0</v>
      </c>
      <c r="AP65" s="492">
        <f t="shared" si="38"/>
        <v>159822</v>
      </c>
      <c r="AQ65" s="492">
        <f t="shared" si="38"/>
        <v>4728</v>
      </c>
      <c r="AR65" s="492">
        <f t="shared" si="38"/>
        <v>0</v>
      </c>
      <c r="AS65" s="609">
        <f>O65+AL65</f>
        <v>0.89839999999999998</v>
      </c>
    </row>
    <row r="66" spans="1:45" ht="12.95" customHeight="1" x14ac:dyDescent="0.25">
      <c r="A66" s="249">
        <v>13</v>
      </c>
      <c r="B66" s="250">
        <v>5411</v>
      </c>
      <c r="C66" s="251">
        <v>650034244</v>
      </c>
      <c r="D66" s="250">
        <v>70985375</v>
      </c>
      <c r="E66" s="252" t="s">
        <v>360</v>
      </c>
      <c r="F66" s="216"/>
      <c r="G66" s="254"/>
      <c r="H66" s="217"/>
      <c r="I66" s="668">
        <v>5435612</v>
      </c>
      <c r="J66" s="355">
        <v>3990070</v>
      </c>
      <c r="K66" s="355">
        <v>42600</v>
      </c>
      <c r="L66" s="355">
        <v>1363042</v>
      </c>
      <c r="M66" s="355">
        <v>39900</v>
      </c>
      <c r="N66" s="355">
        <v>0</v>
      </c>
      <c r="O66" s="780">
        <v>6.3883999999999999</v>
      </c>
      <c r="P66" s="668">
        <f t="shared" ref="P66:AS66" si="39">SUM(P62:P65)</f>
        <v>-28400</v>
      </c>
      <c r="Q66" s="355">
        <f t="shared" si="39"/>
        <v>74409</v>
      </c>
      <c r="R66" s="355">
        <f t="shared" si="39"/>
        <v>0</v>
      </c>
      <c r="S66" s="355">
        <f t="shared" si="39"/>
        <v>0</v>
      </c>
      <c r="T66" s="355">
        <f t="shared" si="39"/>
        <v>0</v>
      </c>
      <c r="U66" s="355">
        <f t="shared" si="39"/>
        <v>0</v>
      </c>
      <c r="V66" s="355">
        <f t="shared" si="39"/>
        <v>46009</v>
      </c>
      <c r="W66" s="355">
        <f t="shared" si="39"/>
        <v>28400</v>
      </c>
      <c r="X66" s="355">
        <f t="shared" si="39"/>
        <v>0</v>
      </c>
      <c r="Y66" s="355">
        <f t="shared" si="39"/>
        <v>0</v>
      </c>
      <c r="Z66" s="355">
        <f t="shared" si="39"/>
        <v>28400</v>
      </c>
      <c r="AA66" s="355">
        <f t="shared" si="39"/>
        <v>74409</v>
      </c>
      <c r="AB66" s="355">
        <f t="shared" si="39"/>
        <v>25150</v>
      </c>
      <c r="AC66" s="355">
        <f t="shared" si="39"/>
        <v>460</v>
      </c>
      <c r="AD66" s="355">
        <f t="shared" si="39"/>
        <v>0</v>
      </c>
      <c r="AE66" s="665">
        <f t="shared" si="39"/>
        <v>100019</v>
      </c>
      <c r="AF66" s="793">
        <f t="shared" si="39"/>
        <v>-0.01</v>
      </c>
      <c r="AG66" s="356">
        <f t="shared" si="39"/>
        <v>0.19</v>
      </c>
      <c r="AH66" s="356">
        <f t="shared" si="39"/>
        <v>0</v>
      </c>
      <c r="AI66" s="356">
        <f t="shared" si="39"/>
        <v>0</v>
      </c>
      <c r="AJ66" s="356">
        <f t="shared" si="39"/>
        <v>0</v>
      </c>
      <c r="AK66" s="356">
        <f t="shared" si="39"/>
        <v>0</v>
      </c>
      <c r="AL66" s="253">
        <f t="shared" si="39"/>
        <v>0.18</v>
      </c>
      <c r="AM66" s="668">
        <f t="shared" si="39"/>
        <v>5535631</v>
      </c>
      <c r="AN66" s="355">
        <f t="shared" si="39"/>
        <v>4036079</v>
      </c>
      <c r="AO66" s="355">
        <f t="shared" si="39"/>
        <v>71000</v>
      </c>
      <c r="AP66" s="355">
        <f t="shared" si="39"/>
        <v>1388192</v>
      </c>
      <c r="AQ66" s="355">
        <f t="shared" si="39"/>
        <v>40360</v>
      </c>
      <c r="AR66" s="355">
        <f t="shared" si="39"/>
        <v>0</v>
      </c>
      <c r="AS66" s="253">
        <f t="shared" si="39"/>
        <v>6.5683999999999996</v>
      </c>
    </row>
    <row r="67" spans="1:45" ht="12.95" customHeight="1" x14ac:dyDescent="0.25">
      <c r="A67" s="205">
        <v>14</v>
      </c>
      <c r="B67" s="246">
        <v>5412</v>
      </c>
      <c r="C67" s="247">
        <v>600099130</v>
      </c>
      <c r="D67" s="206">
        <v>70698066</v>
      </c>
      <c r="E67" s="248" t="s">
        <v>361</v>
      </c>
      <c r="F67" s="206">
        <v>3111</v>
      </c>
      <c r="G67" s="248" t="s">
        <v>290</v>
      </c>
      <c r="H67" s="209" t="s">
        <v>262</v>
      </c>
      <c r="I67" s="610">
        <v>1556952</v>
      </c>
      <c r="J67" s="554">
        <v>1155009</v>
      </c>
      <c r="K67" s="554">
        <v>0</v>
      </c>
      <c r="L67" s="431">
        <v>390393</v>
      </c>
      <c r="M67" s="431">
        <v>11550</v>
      </c>
      <c r="N67" s="325">
        <v>0</v>
      </c>
      <c r="O67" s="718">
        <v>1.9355</v>
      </c>
      <c r="P67" s="327">
        <f t="shared" ref="P67:P70" si="40">W67*-1</f>
        <v>0</v>
      </c>
      <c r="Q67" s="492">
        <v>0</v>
      </c>
      <c r="R67" s="325">
        <v>0</v>
      </c>
      <c r="S67" s="325">
        <v>0</v>
      </c>
      <c r="T67" s="325">
        <v>0</v>
      </c>
      <c r="U67" s="325">
        <v>0</v>
      </c>
      <c r="V67" s="492">
        <f>P67+Q67+R67+S67+T67+U67</f>
        <v>0</v>
      </c>
      <c r="W67" s="325">
        <v>0</v>
      </c>
      <c r="X67" s="325">
        <v>0</v>
      </c>
      <c r="Y67" s="325">
        <v>0</v>
      </c>
      <c r="Z67" s="492">
        <f>W67+X67+Y67</f>
        <v>0</v>
      </c>
      <c r="AA67" s="492">
        <f>V67+Z67</f>
        <v>0</v>
      </c>
      <c r="AB67" s="494">
        <f>ROUND((V67+Z67)*33.8%,0)</f>
        <v>0</v>
      </c>
      <c r="AC67" s="494">
        <f>ROUND(V67*1%,0)</f>
        <v>0</v>
      </c>
      <c r="AD67" s="492">
        <v>0</v>
      </c>
      <c r="AE67" s="753">
        <f t="shared" ref="AE67:AE70" si="41">AA67+AB67+AC67+AD67</f>
        <v>0</v>
      </c>
      <c r="AF67" s="688">
        <v>0</v>
      </c>
      <c r="AG67" s="491">
        <v>0</v>
      </c>
      <c r="AH67" s="326">
        <v>0</v>
      </c>
      <c r="AI67" s="326">
        <v>0</v>
      </c>
      <c r="AJ67" s="326">
        <v>0</v>
      </c>
      <c r="AK67" s="326">
        <v>0</v>
      </c>
      <c r="AL67" s="609">
        <f>SUM(AF67:AK67)</f>
        <v>0</v>
      </c>
      <c r="AM67" s="676">
        <f>I67+AE67</f>
        <v>1556952</v>
      </c>
      <c r="AN67" s="492">
        <f>J67+V67</f>
        <v>1155009</v>
      </c>
      <c r="AO67" s="573">
        <f>K67+Z67</f>
        <v>0</v>
      </c>
      <c r="AP67" s="492">
        <f t="shared" ref="AP67:AR70" si="42">L67+AB67</f>
        <v>390393</v>
      </c>
      <c r="AQ67" s="492">
        <f t="shared" si="42"/>
        <v>11550</v>
      </c>
      <c r="AR67" s="492">
        <f t="shared" si="42"/>
        <v>0</v>
      </c>
      <c r="AS67" s="609">
        <f>O67+AL67</f>
        <v>1.9355</v>
      </c>
    </row>
    <row r="68" spans="1:45" ht="12.95" customHeight="1" x14ac:dyDescent="0.25">
      <c r="A68" s="205">
        <v>14</v>
      </c>
      <c r="B68" s="246">
        <v>5412</v>
      </c>
      <c r="C68" s="247">
        <v>600099130</v>
      </c>
      <c r="D68" s="206">
        <v>70698066</v>
      </c>
      <c r="E68" s="248" t="s">
        <v>361</v>
      </c>
      <c r="F68" s="206">
        <v>3117</v>
      </c>
      <c r="G68" s="248" t="s">
        <v>280</v>
      </c>
      <c r="H68" s="209" t="s">
        <v>262</v>
      </c>
      <c r="I68" s="580">
        <v>2192363</v>
      </c>
      <c r="J68" s="490">
        <v>1626382</v>
      </c>
      <c r="K68" s="554">
        <v>0</v>
      </c>
      <c r="L68" s="431">
        <v>549717</v>
      </c>
      <c r="M68" s="431">
        <v>16264</v>
      </c>
      <c r="N68" s="325">
        <v>0</v>
      </c>
      <c r="O68" s="719">
        <v>2.3969</v>
      </c>
      <c r="P68" s="327">
        <f t="shared" si="40"/>
        <v>0</v>
      </c>
      <c r="Q68" s="492">
        <v>0</v>
      </c>
      <c r="R68" s="325">
        <v>0</v>
      </c>
      <c r="S68" s="325">
        <v>0</v>
      </c>
      <c r="T68" s="325">
        <v>0</v>
      </c>
      <c r="U68" s="325">
        <v>0</v>
      </c>
      <c r="V68" s="492">
        <f>P68+Q68+R68+S68+T68+U68</f>
        <v>0</v>
      </c>
      <c r="W68" s="325">
        <v>0</v>
      </c>
      <c r="X68" s="325">
        <v>0</v>
      </c>
      <c r="Y68" s="325">
        <v>0</v>
      </c>
      <c r="Z68" s="492">
        <f>W68+X68+Y68</f>
        <v>0</v>
      </c>
      <c r="AA68" s="492">
        <f>V68+Z68</f>
        <v>0</v>
      </c>
      <c r="AB68" s="494">
        <f>ROUND((V68+Z68)*33.8%,0)</f>
        <v>0</v>
      </c>
      <c r="AC68" s="494">
        <f>ROUND(V68*1%,0)</f>
        <v>0</v>
      </c>
      <c r="AD68" s="492">
        <v>0</v>
      </c>
      <c r="AE68" s="753">
        <f t="shared" si="41"/>
        <v>0</v>
      </c>
      <c r="AF68" s="688">
        <v>0</v>
      </c>
      <c r="AG68" s="491">
        <v>0</v>
      </c>
      <c r="AH68" s="326">
        <v>0</v>
      </c>
      <c r="AI68" s="326">
        <v>0</v>
      </c>
      <c r="AJ68" s="326">
        <v>0</v>
      </c>
      <c r="AK68" s="326">
        <v>0</v>
      </c>
      <c r="AL68" s="609">
        <f>SUM(AF68:AK68)</f>
        <v>0</v>
      </c>
      <c r="AM68" s="676">
        <f>I68+AE68</f>
        <v>2192363</v>
      </c>
      <c r="AN68" s="492">
        <f>J68+V68</f>
        <v>1626382</v>
      </c>
      <c r="AO68" s="573">
        <f>K68+Z68</f>
        <v>0</v>
      </c>
      <c r="AP68" s="492">
        <f t="shared" si="42"/>
        <v>549717</v>
      </c>
      <c r="AQ68" s="492">
        <f t="shared" si="42"/>
        <v>16264</v>
      </c>
      <c r="AR68" s="492">
        <f t="shared" si="42"/>
        <v>0</v>
      </c>
      <c r="AS68" s="609">
        <f>O68+AL68</f>
        <v>2.3969</v>
      </c>
    </row>
    <row r="69" spans="1:45" ht="12.95" customHeight="1" x14ac:dyDescent="0.25">
      <c r="A69" s="205">
        <v>14</v>
      </c>
      <c r="B69" s="246">
        <v>5412</v>
      </c>
      <c r="C69" s="247">
        <v>600099130</v>
      </c>
      <c r="D69" s="206">
        <v>70698066</v>
      </c>
      <c r="E69" s="248" t="s">
        <v>361</v>
      </c>
      <c r="F69" s="206">
        <v>3117</v>
      </c>
      <c r="G69" s="248" t="s">
        <v>284</v>
      </c>
      <c r="H69" s="209" t="s">
        <v>263</v>
      </c>
      <c r="I69" s="580">
        <v>341780</v>
      </c>
      <c r="J69" s="490">
        <v>253546</v>
      </c>
      <c r="K69" s="554">
        <v>0</v>
      </c>
      <c r="L69" s="431">
        <v>85699</v>
      </c>
      <c r="M69" s="431">
        <v>2535</v>
      </c>
      <c r="N69" s="325">
        <v>0</v>
      </c>
      <c r="O69" s="719">
        <v>0.64</v>
      </c>
      <c r="P69" s="327">
        <f t="shared" si="40"/>
        <v>0</v>
      </c>
      <c r="Q69" s="492">
        <v>0</v>
      </c>
      <c r="R69" s="325">
        <v>0</v>
      </c>
      <c r="S69" s="325">
        <v>0</v>
      </c>
      <c r="T69" s="325">
        <v>0</v>
      </c>
      <c r="U69" s="325">
        <v>0</v>
      </c>
      <c r="V69" s="492">
        <f>P69+Q69+R69+S69+T69+U69</f>
        <v>0</v>
      </c>
      <c r="W69" s="325">
        <v>0</v>
      </c>
      <c r="X69" s="325">
        <v>0</v>
      </c>
      <c r="Y69" s="325">
        <v>0</v>
      </c>
      <c r="Z69" s="492">
        <f>W69+X69+Y69</f>
        <v>0</v>
      </c>
      <c r="AA69" s="492">
        <f>V69+Z69</f>
        <v>0</v>
      </c>
      <c r="AB69" s="494">
        <f>ROUND((V69+Z69)*33.8%,0)</f>
        <v>0</v>
      </c>
      <c r="AC69" s="494">
        <f>ROUND(V69*1%,0)</f>
        <v>0</v>
      </c>
      <c r="AD69" s="492">
        <v>0</v>
      </c>
      <c r="AE69" s="753">
        <f t="shared" si="41"/>
        <v>0</v>
      </c>
      <c r="AF69" s="688">
        <v>0</v>
      </c>
      <c r="AG69" s="491">
        <v>0</v>
      </c>
      <c r="AH69" s="326">
        <v>0</v>
      </c>
      <c r="AI69" s="326">
        <v>0</v>
      </c>
      <c r="AJ69" s="326">
        <v>0</v>
      </c>
      <c r="AK69" s="326">
        <v>0</v>
      </c>
      <c r="AL69" s="609">
        <f>SUM(AF69:AK69)</f>
        <v>0</v>
      </c>
      <c r="AM69" s="676">
        <f>I69+AE69</f>
        <v>341780</v>
      </c>
      <c r="AN69" s="492">
        <f>J69+V69</f>
        <v>253546</v>
      </c>
      <c r="AO69" s="573">
        <f>K69+Z69</f>
        <v>0</v>
      </c>
      <c r="AP69" s="492">
        <f t="shared" si="42"/>
        <v>85699</v>
      </c>
      <c r="AQ69" s="492">
        <f t="shared" si="42"/>
        <v>2535</v>
      </c>
      <c r="AR69" s="492">
        <f t="shared" si="42"/>
        <v>0</v>
      </c>
      <c r="AS69" s="609">
        <f>O69+AL69</f>
        <v>0.64</v>
      </c>
    </row>
    <row r="70" spans="1:45" ht="12.95" customHeight="1" x14ac:dyDescent="0.25">
      <c r="A70" s="205">
        <v>14</v>
      </c>
      <c r="B70" s="246">
        <v>5412</v>
      </c>
      <c r="C70" s="247">
        <v>600099130</v>
      </c>
      <c r="D70" s="206">
        <v>70698066</v>
      </c>
      <c r="E70" s="248" t="s">
        <v>361</v>
      </c>
      <c r="F70" s="206">
        <v>3143</v>
      </c>
      <c r="G70" s="248" t="s">
        <v>794</v>
      </c>
      <c r="H70" s="209" t="s">
        <v>262</v>
      </c>
      <c r="I70" s="580">
        <v>317610</v>
      </c>
      <c r="J70" s="490">
        <v>235616</v>
      </c>
      <c r="K70" s="554">
        <v>0</v>
      </c>
      <c r="L70" s="431">
        <v>79638</v>
      </c>
      <c r="M70" s="431">
        <v>2356</v>
      </c>
      <c r="N70" s="325">
        <v>0</v>
      </c>
      <c r="O70" s="719">
        <v>0.5</v>
      </c>
      <c r="P70" s="327">
        <f t="shared" si="40"/>
        <v>0</v>
      </c>
      <c r="Q70" s="492">
        <v>0</v>
      </c>
      <c r="R70" s="325">
        <v>0</v>
      </c>
      <c r="S70" s="325">
        <v>0</v>
      </c>
      <c r="T70" s="325">
        <v>0</v>
      </c>
      <c r="U70" s="325">
        <v>0</v>
      </c>
      <c r="V70" s="492">
        <f>P70+Q70+R70+S70+T70+U70</f>
        <v>0</v>
      </c>
      <c r="W70" s="325">
        <v>0</v>
      </c>
      <c r="X70" s="325">
        <v>0</v>
      </c>
      <c r="Y70" s="325">
        <v>0</v>
      </c>
      <c r="Z70" s="492">
        <f>W70+X70+Y70</f>
        <v>0</v>
      </c>
      <c r="AA70" s="492">
        <f>V70+Z70</f>
        <v>0</v>
      </c>
      <c r="AB70" s="494">
        <f>ROUND((V70+Z70)*33.8%,0)</f>
        <v>0</v>
      </c>
      <c r="AC70" s="494">
        <f>ROUND(V70*1%,0)</f>
        <v>0</v>
      </c>
      <c r="AD70" s="492">
        <v>0</v>
      </c>
      <c r="AE70" s="753">
        <f t="shared" si="41"/>
        <v>0</v>
      </c>
      <c r="AF70" s="688">
        <v>0</v>
      </c>
      <c r="AG70" s="491">
        <v>0</v>
      </c>
      <c r="AH70" s="326">
        <v>0</v>
      </c>
      <c r="AI70" s="326">
        <v>0</v>
      </c>
      <c r="AJ70" s="326">
        <v>0</v>
      </c>
      <c r="AK70" s="326">
        <v>0</v>
      </c>
      <c r="AL70" s="609">
        <f>SUM(AF70:AK70)</f>
        <v>0</v>
      </c>
      <c r="AM70" s="676">
        <f>I70+AE70</f>
        <v>317610</v>
      </c>
      <c r="AN70" s="492">
        <f>J70+V70</f>
        <v>235616</v>
      </c>
      <c r="AO70" s="573">
        <f>K70+Z70</f>
        <v>0</v>
      </c>
      <c r="AP70" s="492">
        <f t="shared" si="42"/>
        <v>79638</v>
      </c>
      <c r="AQ70" s="492">
        <f t="shared" si="42"/>
        <v>2356</v>
      </c>
      <c r="AR70" s="492">
        <f t="shared" si="42"/>
        <v>0</v>
      </c>
      <c r="AS70" s="609">
        <f>O70+AL70</f>
        <v>0.5</v>
      </c>
    </row>
    <row r="71" spans="1:45" ht="12.95" customHeight="1" x14ac:dyDescent="0.25">
      <c r="A71" s="249">
        <v>14</v>
      </c>
      <c r="B71" s="250">
        <v>5412</v>
      </c>
      <c r="C71" s="251">
        <v>600099130</v>
      </c>
      <c r="D71" s="250">
        <v>70698066</v>
      </c>
      <c r="E71" s="252" t="s">
        <v>362</v>
      </c>
      <c r="F71" s="216"/>
      <c r="G71" s="254"/>
      <c r="H71" s="217"/>
      <c r="I71" s="668">
        <v>4408705</v>
      </c>
      <c r="J71" s="355">
        <v>3270553</v>
      </c>
      <c r="K71" s="355">
        <v>0</v>
      </c>
      <c r="L71" s="355">
        <v>1105447</v>
      </c>
      <c r="M71" s="355">
        <v>32705</v>
      </c>
      <c r="N71" s="355">
        <v>0</v>
      </c>
      <c r="O71" s="780">
        <v>5.4723999999999995</v>
      </c>
      <c r="P71" s="668">
        <f t="shared" ref="P71:AS71" si="43">SUM(P67:P70)</f>
        <v>0</v>
      </c>
      <c r="Q71" s="355">
        <f t="shared" si="43"/>
        <v>0</v>
      </c>
      <c r="R71" s="355">
        <f t="shared" si="43"/>
        <v>0</v>
      </c>
      <c r="S71" s="355">
        <f t="shared" si="43"/>
        <v>0</v>
      </c>
      <c r="T71" s="355">
        <f t="shared" si="43"/>
        <v>0</v>
      </c>
      <c r="U71" s="355">
        <f t="shared" si="43"/>
        <v>0</v>
      </c>
      <c r="V71" s="355">
        <f t="shared" si="43"/>
        <v>0</v>
      </c>
      <c r="W71" s="355">
        <f t="shared" si="43"/>
        <v>0</v>
      </c>
      <c r="X71" s="355">
        <f t="shared" si="43"/>
        <v>0</v>
      </c>
      <c r="Y71" s="355">
        <f t="shared" si="43"/>
        <v>0</v>
      </c>
      <c r="Z71" s="355">
        <f t="shared" si="43"/>
        <v>0</v>
      </c>
      <c r="AA71" s="355">
        <f t="shared" si="43"/>
        <v>0</v>
      </c>
      <c r="AB71" s="355">
        <f t="shared" si="43"/>
        <v>0</v>
      </c>
      <c r="AC71" s="355">
        <f t="shared" si="43"/>
        <v>0</v>
      </c>
      <c r="AD71" s="355">
        <f t="shared" si="43"/>
        <v>0</v>
      </c>
      <c r="AE71" s="665">
        <f t="shared" si="43"/>
        <v>0</v>
      </c>
      <c r="AF71" s="793">
        <v>0</v>
      </c>
      <c r="AG71" s="356">
        <f t="shared" si="43"/>
        <v>0</v>
      </c>
      <c r="AH71" s="356">
        <f t="shared" si="43"/>
        <v>0</v>
      </c>
      <c r="AI71" s="356">
        <f t="shared" si="43"/>
        <v>0</v>
      </c>
      <c r="AJ71" s="356">
        <f t="shared" si="43"/>
        <v>0</v>
      </c>
      <c r="AK71" s="356">
        <f t="shared" si="43"/>
        <v>0</v>
      </c>
      <c r="AL71" s="253">
        <f t="shared" si="43"/>
        <v>0</v>
      </c>
      <c r="AM71" s="668">
        <f t="shared" si="43"/>
        <v>4408705</v>
      </c>
      <c r="AN71" s="355">
        <f t="shared" si="43"/>
        <v>3270553</v>
      </c>
      <c r="AO71" s="355">
        <f t="shared" si="43"/>
        <v>0</v>
      </c>
      <c r="AP71" s="355">
        <f t="shared" si="43"/>
        <v>1105447</v>
      </c>
      <c r="AQ71" s="355">
        <f t="shared" si="43"/>
        <v>32705</v>
      </c>
      <c r="AR71" s="355">
        <f t="shared" si="43"/>
        <v>0</v>
      </c>
      <c r="AS71" s="253">
        <f t="shared" si="43"/>
        <v>5.4723999999999995</v>
      </c>
    </row>
    <row r="72" spans="1:45" ht="12.95" customHeight="1" x14ac:dyDescent="0.25">
      <c r="A72" s="205">
        <v>15</v>
      </c>
      <c r="B72" s="246">
        <v>5418</v>
      </c>
      <c r="C72" s="247">
        <v>600098508</v>
      </c>
      <c r="D72" s="206">
        <v>70156573</v>
      </c>
      <c r="E72" s="248" t="s">
        <v>363</v>
      </c>
      <c r="F72" s="206">
        <v>3111</v>
      </c>
      <c r="G72" s="248" t="s">
        <v>290</v>
      </c>
      <c r="H72" s="209" t="s">
        <v>262</v>
      </c>
      <c r="I72" s="610">
        <v>4616133</v>
      </c>
      <c r="J72" s="554">
        <v>3424431</v>
      </c>
      <c r="K72" s="554">
        <v>0</v>
      </c>
      <c r="L72" s="431">
        <v>1157458</v>
      </c>
      <c r="M72" s="431">
        <v>34244</v>
      </c>
      <c r="N72" s="325">
        <v>0</v>
      </c>
      <c r="O72" s="718">
        <v>5.6440000000000001</v>
      </c>
      <c r="P72" s="327">
        <f>W72*-1</f>
        <v>0</v>
      </c>
      <c r="Q72" s="492">
        <v>0</v>
      </c>
      <c r="R72" s="325">
        <v>0</v>
      </c>
      <c r="S72" s="325">
        <v>0</v>
      </c>
      <c r="T72" s="325">
        <v>0</v>
      </c>
      <c r="U72" s="325">
        <v>0</v>
      </c>
      <c r="V72" s="492">
        <f>P72+Q72+R72+S72+T72+U72</f>
        <v>0</v>
      </c>
      <c r="W72" s="325">
        <v>0</v>
      </c>
      <c r="X72" s="325">
        <v>0</v>
      </c>
      <c r="Y72" s="325">
        <v>0</v>
      </c>
      <c r="Z72" s="492">
        <f>W72+X72+Y72</f>
        <v>0</v>
      </c>
      <c r="AA72" s="492">
        <f>V72+Z72</f>
        <v>0</v>
      </c>
      <c r="AB72" s="494">
        <f>ROUND((V72+Z72)*33.8%,0)</f>
        <v>0</v>
      </c>
      <c r="AC72" s="494">
        <f>ROUND(V72*1%,0)</f>
        <v>0</v>
      </c>
      <c r="AD72" s="492">
        <v>0</v>
      </c>
      <c r="AE72" s="753">
        <f t="shared" ref="AE72:AE73" si="44">AA72+AB72+AC72+AD72</f>
        <v>0</v>
      </c>
      <c r="AF72" s="688">
        <v>0</v>
      </c>
      <c r="AG72" s="491">
        <v>0</v>
      </c>
      <c r="AH72" s="326">
        <v>0</v>
      </c>
      <c r="AI72" s="326">
        <v>0</v>
      </c>
      <c r="AJ72" s="326">
        <v>0</v>
      </c>
      <c r="AK72" s="326">
        <v>0</v>
      </c>
      <c r="AL72" s="609">
        <f>SUM(AF72:AK72)</f>
        <v>0</v>
      </c>
      <c r="AM72" s="676">
        <f>I72+AE72</f>
        <v>4616133</v>
      </c>
      <c r="AN72" s="492">
        <f>J72+V72</f>
        <v>3424431</v>
      </c>
      <c r="AO72" s="573">
        <f>K72+Z72</f>
        <v>0</v>
      </c>
      <c r="AP72" s="492">
        <f t="shared" ref="AP72:AR73" si="45">L72+AB72</f>
        <v>1157458</v>
      </c>
      <c r="AQ72" s="492">
        <f t="shared" si="45"/>
        <v>34244</v>
      </c>
      <c r="AR72" s="492">
        <f t="shared" si="45"/>
        <v>0</v>
      </c>
      <c r="AS72" s="609">
        <f>O72+AL72</f>
        <v>5.6440000000000001</v>
      </c>
    </row>
    <row r="73" spans="1:45" ht="12.95" customHeight="1" x14ac:dyDescent="0.25">
      <c r="A73" s="205">
        <v>15</v>
      </c>
      <c r="B73" s="246">
        <v>5418</v>
      </c>
      <c r="C73" s="247">
        <v>600098508</v>
      </c>
      <c r="D73" s="206">
        <v>70156573</v>
      </c>
      <c r="E73" s="248" t="s">
        <v>363</v>
      </c>
      <c r="F73" s="206">
        <v>3111</v>
      </c>
      <c r="G73" s="248" t="s">
        <v>284</v>
      </c>
      <c r="H73" s="209" t="s">
        <v>263</v>
      </c>
      <c r="I73" s="580">
        <v>1010466</v>
      </c>
      <c r="J73" s="490">
        <v>749604</v>
      </c>
      <c r="K73" s="554">
        <v>0</v>
      </c>
      <c r="L73" s="431">
        <v>253366</v>
      </c>
      <c r="M73" s="431">
        <v>7496</v>
      </c>
      <c r="N73" s="325">
        <v>0</v>
      </c>
      <c r="O73" s="719">
        <v>1.8900000000000001</v>
      </c>
      <c r="P73" s="327">
        <f>W73*-1</f>
        <v>0</v>
      </c>
      <c r="Q73" s="492">
        <v>0</v>
      </c>
      <c r="R73" s="325">
        <v>0</v>
      </c>
      <c r="S73" s="325">
        <v>0</v>
      </c>
      <c r="T73" s="325">
        <v>0</v>
      </c>
      <c r="U73" s="325">
        <v>0</v>
      </c>
      <c r="V73" s="492">
        <f>P73+Q73+R73+S73+T73+U73</f>
        <v>0</v>
      </c>
      <c r="W73" s="325">
        <v>0</v>
      </c>
      <c r="X73" s="325">
        <v>0</v>
      </c>
      <c r="Y73" s="325">
        <v>0</v>
      </c>
      <c r="Z73" s="492">
        <f>W73+X73+Y73</f>
        <v>0</v>
      </c>
      <c r="AA73" s="492">
        <f>V73+Z73</f>
        <v>0</v>
      </c>
      <c r="AB73" s="494">
        <f>ROUND((V73+Z73)*33.8%,0)</f>
        <v>0</v>
      </c>
      <c r="AC73" s="494">
        <f>ROUND(V73*1%,0)</f>
        <v>0</v>
      </c>
      <c r="AD73" s="492">
        <v>0</v>
      </c>
      <c r="AE73" s="753">
        <f t="shared" si="44"/>
        <v>0</v>
      </c>
      <c r="AF73" s="688">
        <v>0</v>
      </c>
      <c r="AG73" s="491">
        <v>0</v>
      </c>
      <c r="AH73" s="326">
        <v>0</v>
      </c>
      <c r="AI73" s="326">
        <v>0</v>
      </c>
      <c r="AJ73" s="326">
        <v>0</v>
      </c>
      <c r="AK73" s="326">
        <v>0</v>
      </c>
      <c r="AL73" s="609">
        <f>SUM(AF73:AK73)</f>
        <v>0</v>
      </c>
      <c r="AM73" s="676">
        <f>I73+AE73</f>
        <v>1010466</v>
      </c>
      <c r="AN73" s="492">
        <f>J73+V73</f>
        <v>749604</v>
      </c>
      <c r="AO73" s="573">
        <f>K73+Z73</f>
        <v>0</v>
      </c>
      <c r="AP73" s="492">
        <f t="shared" si="45"/>
        <v>253366</v>
      </c>
      <c r="AQ73" s="492">
        <f t="shared" si="45"/>
        <v>7496</v>
      </c>
      <c r="AR73" s="492">
        <f t="shared" si="45"/>
        <v>0</v>
      </c>
      <c r="AS73" s="609">
        <f>O73+AL73</f>
        <v>1.8900000000000001</v>
      </c>
    </row>
    <row r="74" spans="1:45" ht="12.95" customHeight="1" x14ac:dyDescent="0.25">
      <c r="A74" s="249">
        <v>15</v>
      </c>
      <c r="B74" s="250">
        <v>5418</v>
      </c>
      <c r="C74" s="251">
        <v>600098508</v>
      </c>
      <c r="D74" s="250">
        <v>70156573</v>
      </c>
      <c r="E74" s="252" t="s">
        <v>364</v>
      </c>
      <c r="F74" s="216"/>
      <c r="G74" s="254"/>
      <c r="H74" s="217"/>
      <c r="I74" s="668">
        <v>5626599</v>
      </c>
      <c r="J74" s="355">
        <v>4174035</v>
      </c>
      <c r="K74" s="355">
        <v>0</v>
      </c>
      <c r="L74" s="355">
        <v>1410824</v>
      </c>
      <c r="M74" s="355">
        <v>41740</v>
      </c>
      <c r="N74" s="355">
        <v>0</v>
      </c>
      <c r="O74" s="780">
        <v>7.5340000000000007</v>
      </c>
      <c r="P74" s="668">
        <f t="shared" ref="P74:AS74" si="46">SUM(P72:P73)</f>
        <v>0</v>
      </c>
      <c r="Q74" s="355">
        <f t="shared" si="46"/>
        <v>0</v>
      </c>
      <c r="R74" s="355">
        <f t="shared" si="46"/>
        <v>0</v>
      </c>
      <c r="S74" s="355">
        <f t="shared" si="46"/>
        <v>0</v>
      </c>
      <c r="T74" s="355">
        <f t="shared" si="46"/>
        <v>0</v>
      </c>
      <c r="U74" s="355">
        <f t="shared" si="46"/>
        <v>0</v>
      </c>
      <c r="V74" s="355">
        <f t="shared" si="46"/>
        <v>0</v>
      </c>
      <c r="W74" s="355">
        <f t="shared" si="46"/>
        <v>0</v>
      </c>
      <c r="X74" s="355">
        <f t="shared" si="46"/>
        <v>0</v>
      </c>
      <c r="Y74" s="355">
        <f t="shared" si="46"/>
        <v>0</v>
      </c>
      <c r="Z74" s="355">
        <f t="shared" si="46"/>
        <v>0</v>
      </c>
      <c r="AA74" s="355">
        <f t="shared" si="46"/>
        <v>0</v>
      </c>
      <c r="AB74" s="355">
        <f t="shared" si="46"/>
        <v>0</v>
      </c>
      <c r="AC74" s="355">
        <f t="shared" si="46"/>
        <v>0</v>
      </c>
      <c r="AD74" s="355">
        <f t="shared" si="46"/>
        <v>0</v>
      </c>
      <c r="AE74" s="665">
        <f t="shared" si="46"/>
        <v>0</v>
      </c>
      <c r="AF74" s="793">
        <v>0</v>
      </c>
      <c r="AG74" s="356">
        <f t="shared" si="46"/>
        <v>0</v>
      </c>
      <c r="AH74" s="356">
        <f t="shared" si="46"/>
        <v>0</v>
      </c>
      <c r="AI74" s="356">
        <f t="shared" si="46"/>
        <v>0</v>
      </c>
      <c r="AJ74" s="356">
        <f t="shared" si="46"/>
        <v>0</v>
      </c>
      <c r="AK74" s="356">
        <f t="shared" si="46"/>
        <v>0</v>
      </c>
      <c r="AL74" s="253">
        <f t="shared" si="46"/>
        <v>0</v>
      </c>
      <c r="AM74" s="668">
        <f t="shared" si="46"/>
        <v>5626599</v>
      </c>
      <c r="AN74" s="355">
        <f t="shared" si="46"/>
        <v>4174035</v>
      </c>
      <c r="AO74" s="355">
        <f t="shared" si="46"/>
        <v>0</v>
      </c>
      <c r="AP74" s="355">
        <f t="shared" si="46"/>
        <v>1410824</v>
      </c>
      <c r="AQ74" s="355">
        <f t="shared" si="46"/>
        <v>41740</v>
      </c>
      <c r="AR74" s="355">
        <f t="shared" si="46"/>
        <v>0</v>
      </c>
      <c r="AS74" s="253">
        <f t="shared" si="46"/>
        <v>7.5340000000000007</v>
      </c>
    </row>
    <row r="75" spans="1:45" ht="12.95" customHeight="1" x14ac:dyDescent="0.25">
      <c r="A75" s="205">
        <v>16</v>
      </c>
      <c r="B75" s="246">
        <v>5417</v>
      </c>
      <c r="C75" s="247">
        <v>600099113</v>
      </c>
      <c r="D75" s="206">
        <v>70156565</v>
      </c>
      <c r="E75" s="248" t="s">
        <v>365</v>
      </c>
      <c r="F75" s="206">
        <v>3117</v>
      </c>
      <c r="G75" s="248" t="s">
        <v>280</v>
      </c>
      <c r="H75" s="209" t="s">
        <v>262</v>
      </c>
      <c r="I75" s="610">
        <v>5364594</v>
      </c>
      <c r="J75" s="554">
        <v>3964780</v>
      </c>
      <c r="K75" s="554">
        <v>15000</v>
      </c>
      <c r="L75" s="431">
        <v>1345166</v>
      </c>
      <c r="M75" s="431">
        <v>39648</v>
      </c>
      <c r="N75" s="325">
        <v>0</v>
      </c>
      <c r="O75" s="718">
        <v>6.1165000000000003</v>
      </c>
      <c r="P75" s="327">
        <f>W75*-1</f>
        <v>-10000</v>
      </c>
      <c r="Q75" s="492">
        <v>0</v>
      </c>
      <c r="R75" s="325">
        <v>0</v>
      </c>
      <c r="S75" s="325">
        <v>0</v>
      </c>
      <c r="T75" s="325">
        <v>0</v>
      </c>
      <c r="U75" s="325">
        <v>0</v>
      </c>
      <c r="V75" s="492">
        <f>P75+Q75+R75+S75+T75+U75</f>
        <v>-10000</v>
      </c>
      <c r="W75" s="325">
        <v>10000</v>
      </c>
      <c r="X75" s="325">
        <v>0</v>
      </c>
      <c r="Y75" s="325">
        <v>0</v>
      </c>
      <c r="Z75" s="492">
        <f>W75+X75+Y75</f>
        <v>10000</v>
      </c>
      <c r="AA75" s="492">
        <f>V75+Z75</f>
        <v>0</v>
      </c>
      <c r="AB75" s="494">
        <f>ROUND((V75+Z75)*33.8%,0)</f>
        <v>0</v>
      </c>
      <c r="AC75" s="494">
        <f>ROUND(V75*1%,0)</f>
        <v>-100</v>
      </c>
      <c r="AD75" s="492">
        <v>0</v>
      </c>
      <c r="AE75" s="753">
        <f t="shared" ref="AE75:AE77" si="47">AA75+AB75+AC75+AD75</f>
        <v>-100</v>
      </c>
      <c r="AF75" s="688">
        <v>-9.9999999999999985E-3</v>
      </c>
      <c r="AG75" s="491">
        <v>0</v>
      </c>
      <c r="AH75" s="326">
        <v>0</v>
      </c>
      <c r="AI75" s="326">
        <v>0</v>
      </c>
      <c r="AJ75" s="326">
        <v>0</v>
      </c>
      <c r="AK75" s="326">
        <v>0</v>
      </c>
      <c r="AL75" s="609">
        <f>SUM(AF75:AK75)</f>
        <v>-9.9999999999999985E-3</v>
      </c>
      <c r="AM75" s="676">
        <f>I75+AE75</f>
        <v>5364494</v>
      </c>
      <c r="AN75" s="492">
        <f>J75+V75</f>
        <v>3954780</v>
      </c>
      <c r="AO75" s="573">
        <f>K75+Z75</f>
        <v>25000</v>
      </c>
      <c r="AP75" s="492">
        <f t="shared" ref="AP75:AR77" si="48">L75+AB75</f>
        <v>1345166</v>
      </c>
      <c r="AQ75" s="492">
        <f t="shared" si="48"/>
        <v>39548</v>
      </c>
      <c r="AR75" s="492">
        <f t="shared" si="48"/>
        <v>0</v>
      </c>
      <c r="AS75" s="609">
        <f>O75+AL75</f>
        <v>6.1065000000000005</v>
      </c>
    </row>
    <row r="76" spans="1:45" ht="12.95" customHeight="1" x14ac:dyDescent="0.25">
      <c r="A76" s="205">
        <v>16</v>
      </c>
      <c r="B76" s="246">
        <v>5417</v>
      </c>
      <c r="C76" s="247">
        <v>600099113</v>
      </c>
      <c r="D76" s="206">
        <v>70156565</v>
      </c>
      <c r="E76" s="248" t="s">
        <v>365</v>
      </c>
      <c r="F76" s="206">
        <v>3117</v>
      </c>
      <c r="G76" s="248" t="s">
        <v>284</v>
      </c>
      <c r="H76" s="209" t="s">
        <v>263</v>
      </c>
      <c r="I76" s="580">
        <v>1590134</v>
      </c>
      <c r="J76" s="490">
        <v>1179625</v>
      </c>
      <c r="K76" s="554">
        <v>0</v>
      </c>
      <c r="L76" s="431">
        <v>398713</v>
      </c>
      <c r="M76" s="431">
        <v>11796</v>
      </c>
      <c r="N76" s="325">
        <v>0</v>
      </c>
      <c r="O76" s="719">
        <v>2.82</v>
      </c>
      <c r="P76" s="327">
        <f>W76*-1</f>
        <v>0</v>
      </c>
      <c r="Q76" s="492">
        <v>19868</v>
      </c>
      <c r="R76" s="325">
        <v>0</v>
      </c>
      <c r="S76" s="325">
        <v>0</v>
      </c>
      <c r="T76" s="325">
        <v>0</v>
      </c>
      <c r="U76" s="325">
        <v>0</v>
      </c>
      <c r="V76" s="492">
        <f>P76+Q76+R76+S76+T76+U76</f>
        <v>19868</v>
      </c>
      <c r="W76" s="325">
        <v>0</v>
      </c>
      <c r="X76" s="325">
        <v>0</v>
      </c>
      <c r="Y76" s="325">
        <v>0</v>
      </c>
      <c r="Z76" s="492">
        <f>W76+X76+Y76</f>
        <v>0</v>
      </c>
      <c r="AA76" s="492">
        <f>V76+Z76</f>
        <v>19868</v>
      </c>
      <c r="AB76" s="494">
        <f>ROUND((V76+Z76)*33.8%,0)</f>
        <v>6715</v>
      </c>
      <c r="AC76" s="494">
        <f>ROUND(V76*1%,0)</f>
        <v>199</v>
      </c>
      <c r="AD76" s="492">
        <v>0</v>
      </c>
      <c r="AE76" s="753">
        <f t="shared" si="47"/>
        <v>26782</v>
      </c>
      <c r="AF76" s="688">
        <v>0</v>
      </c>
      <c r="AG76" s="491">
        <v>0.04</v>
      </c>
      <c r="AH76" s="326">
        <v>0</v>
      </c>
      <c r="AI76" s="326">
        <v>0</v>
      </c>
      <c r="AJ76" s="326">
        <v>0</v>
      </c>
      <c r="AK76" s="326">
        <v>0</v>
      </c>
      <c r="AL76" s="609">
        <f>SUM(AF76:AK76)</f>
        <v>0.04</v>
      </c>
      <c r="AM76" s="676">
        <f>I76+AE76</f>
        <v>1616916</v>
      </c>
      <c r="AN76" s="492">
        <f>J76+V76</f>
        <v>1199493</v>
      </c>
      <c r="AO76" s="573">
        <f>K76+Z76</f>
        <v>0</v>
      </c>
      <c r="AP76" s="492">
        <f t="shared" si="48"/>
        <v>405428</v>
      </c>
      <c r="AQ76" s="492">
        <f t="shared" si="48"/>
        <v>11995</v>
      </c>
      <c r="AR76" s="492">
        <f t="shared" si="48"/>
        <v>0</v>
      </c>
      <c r="AS76" s="609">
        <f>O76+AL76</f>
        <v>2.86</v>
      </c>
    </row>
    <row r="77" spans="1:45" ht="12.95" customHeight="1" x14ac:dyDescent="0.25">
      <c r="A77" s="205">
        <v>16</v>
      </c>
      <c r="B77" s="246">
        <v>5417</v>
      </c>
      <c r="C77" s="247">
        <v>600099113</v>
      </c>
      <c r="D77" s="206">
        <v>70156565</v>
      </c>
      <c r="E77" s="248" t="s">
        <v>365</v>
      </c>
      <c r="F77" s="206">
        <v>3143</v>
      </c>
      <c r="G77" s="248" t="s">
        <v>794</v>
      </c>
      <c r="H77" s="209" t="s">
        <v>262</v>
      </c>
      <c r="I77" s="580">
        <v>929694</v>
      </c>
      <c r="J77" s="490">
        <v>689684</v>
      </c>
      <c r="K77" s="554">
        <v>0</v>
      </c>
      <c r="L77" s="431">
        <v>233113</v>
      </c>
      <c r="M77" s="431">
        <v>6897</v>
      </c>
      <c r="N77" s="325">
        <v>0</v>
      </c>
      <c r="O77" s="719">
        <v>1.3838999999999999</v>
      </c>
      <c r="P77" s="327">
        <f>W77*-1</f>
        <v>0</v>
      </c>
      <c r="Q77" s="492">
        <v>0</v>
      </c>
      <c r="R77" s="325">
        <v>0</v>
      </c>
      <c r="S77" s="325">
        <v>0</v>
      </c>
      <c r="T77" s="325">
        <v>0</v>
      </c>
      <c r="U77" s="325">
        <v>0</v>
      </c>
      <c r="V77" s="492">
        <f>P77+Q77+R77+S77+T77+U77</f>
        <v>0</v>
      </c>
      <c r="W77" s="325">
        <v>0</v>
      </c>
      <c r="X77" s="325">
        <v>0</v>
      </c>
      <c r="Y77" s="325">
        <v>0</v>
      </c>
      <c r="Z77" s="492">
        <f>W77+X77+Y77</f>
        <v>0</v>
      </c>
      <c r="AA77" s="492">
        <f>V77+Z77</f>
        <v>0</v>
      </c>
      <c r="AB77" s="494">
        <f>ROUND((V77+Z77)*33.8%,0)</f>
        <v>0</v>
      </c>
      <c r="AC77" s="494">
        <f>ROUND(V77*1%,0)</f>
        <v>0</v>
      </c>
      <c r="AD77" s="492">
        <v>0</v>
      </c>
      <c r="AE77" s="753">
        <f t="shared" si="47"/>
        <v>0</v>
      </c>
      <c r="AF77" s="688">
        <v>0</v>
      </c>
      <c r="AG77" s="491">
        <v>0</v>
      </c>
      <c r="AH77" s="326">
        <v>0</v>
      </c>
      <c r="AI77" s="326">
        <v>0</v>
      </c>
      <c r="AJ77" s="326">
        <v>0</v>
      </c>
      <c r="AK77" s="326">
        <v>0</v>
      </c>
      <c r="AL77" s="609">
        <f>SUM(AF77:AK77)</f>
        <v>0</v>
      </c>
      <c r="AM77" s="676">
        <f>I77+AE77</f>
        <v>929694</v>
      </c>
      <c r="AN77" s="492">
        <f>J77+V77</f>
        <v>689684</v>
      </c>
      <c r="AO77" s="573">
        <f>K77+Z77</f>
        <v>0</v>
      </c>
      <c r="AP77" s="492">
        <f t="shared" si="48"/>
        <v>233113</v>
      </c>
      <c r="AQ77" s="492">
        <f t="shared" si="48"/>
        <v>6897</v>
      </c>
      <c r="AR77" s="492">
        <f t="shared" si="48"/>
        <v>0</v>
      </c>
      <c r="AS77" s="609">
        <f>O77+AL77</f>
        <v>1.3838999999999999</v>
      </c>
    </row>
    <row r="78" spans="1:45" ht="12.95" customHeight="1" x14ac:dyDescent="0.25">
      <c r="A78" s="249">
        <v>16</v>
      </c>
      <c r="B78" s="250">
        <v>5417</v>
      </c>
      <c r="C78" s="251">
        <v>600099113</v>
      </c>
      <c r="D78" s="250">
        <v>70156565</v>
      </c>
      <c r="E78" s="252" t="s">
        <v>366</v>
      </c>
      <c r="F78" s="216"/>
      <c r="G78" s="254"/>
      <c r="H78" s="217"/>
      <c r="I78" s="669">
        <v>7884422</v>
      </c>
      <c r="J78" s="357">
        <v>5834089</v>
      </c>
      <c r="K78" s="357">
        <v>15000</v>
      </c>
      <c r="L78" s="357">
        <v>1976992</v>
      </c>
      <c r="M78" s="357">
        <v>58341</v>
      </c>
      <c r="N78" s="357">
        <v>0</v>
      </c>
      <c r="O78" s="798">
        <v>10.320400000000001</v>
      </c>
      <c r="P78" s="669">
        <f t="shared" ref="P78:AS78" si="49">SUM(P75:P77)</f>
        <v>-10000</v>
      </c>
      <c r="Q78" s="357">
        <f t="shared" si="49"/>
        <v>19868</v>
      </c>
      <c r="R78" s="357">
        <f t="shared" si="49"/>
        <v>0</v>
      </c>
      <c r="S78" s="357">
        <f t="shared" si="49"/>
        <v>0</v>
      </c>
      <c r="T78" s="357">
        <f t="shared" si="49"/>
        <v>0</v>
      </c>
      <c r="U78" s="357">
        <f t="shared" si="49"/>
        <v>0</v>
      </c>
      <c r="V78" s="357">
        <f t="shared" si="49"/>
        <v>9868</v>
      </c>
      <c r="W78" s="357">
        <f t="shared" si="49"/>
        <v>10000</v>
      </c>
      <c r="X78" s="357">
        <f t="shared" si="49"/>
        <v>0</v>
      </c>
      <c r="Y78" s="357">
        <f t="shared" si="49"/>
        <v>0</v>
      </c>
      <c r="Z78" s="357">
        <f t="shared" si="49"/>
        <v>10000</v>
      </c>
      <c r="AA78" s="357">
        <f t="shared" si="49"/>
        <v>19868</v>
      </c>
      <c r="AB78" s="357">
        <f t="shared" si="49"/>
        <v>6715</v>
      </c>
      <c r="AC78" s="357">
        <f t="shared" si="49"/>
        <v>99</v>
      </c>
      <c r="AD78" s="357">
        <f t="shared" si="49"/>
        <v>0</v>
      </c>
      <c r="AE78" s="666">
        <f t="shared" si="49"/>
        <v>26682</v>
      </c>
      <c r="AF78" s="799">
        <f t="shared" si="49"/>
        <v>-9.9999999999999985E-3</v>
      </c>
      <c r="AG78" s="358">
        <f t="shared" si="49"/>
        <v>0.04</v>
      </c>
      <c r="AH78" s="358">
        <f t="shared" si="49"/>
        <v>0</v>
      </c>
      <c r="AI78" s="358">
        <f t="shared" si="49"/>
        <v>0</v>
      </c>
      <c r="AJ78" s="358">
        <f t="shared" si="49"/>
        <v>0</v>
      </c>
      <c r="AK78" s="358">
        <f t="shared" si="49"/>
        <v>0</v>
      </c>
      <c r="AL78" s="258">
        <f t="shared" si="49"/>
        <v>3.0000000000000002E-2</v>
      </c>
      <c r="AM78" s="669">
        <f t="shared" si="49"/>
        <v>7911104</v>
      </c>
      <c r="AN78" s="357">
        <f t="shared" si="49"/>
        <v>5843957</v>
      </c>
      <c r="AO78" s="357">
        <f t="shared" si="49"/>
        <v>25000</v>
      </c>
      <c r="AP78" s="357">
        <f t="shared" si="49"/>
        <v>1983707</v>
      </c>
      <c r="AQ78" s="357">
        <f t="shared" si="49"/>
        <v>58440</v>
      </c>
      <c r="AR78" s="357">
        <f t="shared" si="49"/>
        <v>0</v>
      </c>
      <c r="AS78" s="258">
        <f t="shared" si="49"/>
        <v>10.3504</v>
      </c>
    </row>
    <row r="79" spans="1:45" ht="12.95" customHeight="1" x14ac:dyDescent="0.25">
      <c r="A79" s="205">
        <v>17</v>
      </c>
      <c r="B79" s="246">
        <v>5420</v>
      </c>
      <c r="C79" s="247">
        <v>600098745</v>
      </c>
      <c r="D79" s="206">
        <v>75016249</v>
      </c>
      <c r="E79" s="248" t="s">
        <v>367</v>
      </c>
      <c r="F79" s="206">
        <v>3111</v>
      </c>
      <c r="G79" s="248" t="s">
        <v>290</v>
      </c>
      <c r="H79" s="209" t="s">
        <v>262</v>
      </c>
      <c r="I79" s="610">
        <v>3280698</v>
      </c>
      <c r="J79" s="554">
        <v>2433752</v>
      </c>
      <c r="K79" s="554">
        <v>0</v>
      </c>
      <c r="L79" s="431">
        <v>822608</v>
      </c>
      <c r="M79" s="431">
        <v>24338</v>
      </c>
      <c r="N79" s="325">
        <v>0</v>
      </c>
      <c r="O79" s="718">
        <v>4.0644999999999998</v>
      </c>
      <c r="P79" s="327">
        <f>W79*-1</f>
        <v>0</v>
      </c>
      <c r="Q79" s="492">
        <v>0</v>
      </c>
      <c r="R79" s="325">
        <v>0</v>
      </c>
      <c r="S79" s="325">
        <v>0</v>
      </c>
      <c r="T79" s="325">
        <v>0</v>
      </c>
      <c r="U79" s="325">
        <v>0</v>
      </c>
      <c r="V79" s="492">
        <f>P79+Q79+R79+S79+T79+U79</f>
        <v>0</v>
      </c>
      <c r="W79" s="325">
        <v>0</v>
      </c>
      <c r="X79" s="325">
        <v>0</v>
      </c>
      <c r="Y79" s="325">
        <v>0</v>
      </c>
      <c r="Z79" s="492">
        <f>W79+X79+Y79</f>
        <v>0</v>
      </c>
      <c r="AA79" s="492">
        <f>V79+Z79</f>
        <v>0</v>
      </c>
      <c r="AB79" s="494">
        <f>ROUND((V79+Z79)*33.8%,0)</f>
        <v>0</v>
      </c>
      <c r="AC79" s="494">
        <f>ROUND(V79*1%,0)</f>
        <v>0</v>
      </c>
      <c r="AD79" s="492">
        <v>0</v>
      </c>
      <c r="AE79" s="753">
        <f t="shared" ref="AE79:AE80" si="50">AA79+AB79+AC79+AD79</f>
        <v>0</v>
      </c>
      <c r="AF79" s="688">
        <v>0</v>
      </c>
      <c r="AG79" s="491">
        <v>0</v>
      </c>
      <c r="AH79" s="326">
        <v>0</v>
      </c>
      <c r="AI79" s="326">
        <v>0</v>
      </c>
      <c r="AJ79" s="326">
        <v>0</v>
      </c>
      <c r="AK79" s="326">
        <v>0</v>
      </c>
      <c r="AL79" s="609">
        <f>SUM(AF79:AK79)</f>
        <v>0</v>
      </c>
      <c r="AM79" s="676">
        <f>I79+AE79</f>
        <v>3280698</v>
      </c>
      <c r="AN79" s="492">
        <f>J79+V79</f>
        <v>2433752</v>
      </c>
      <c r="AO79" s="573">
        <f>K79+Z79</f>
        <v>0</v>
      </c>
      <c r="AP79" s="492">
        <f t="shared" ref="AP79:AR80" si="51">L79+AB79</f>
        <v>822608</v>
      </c>
      <c r="AQ79" s="492">
        <f t="shared" si="51"/>
        <v>24338</v>
      </c>
      <c r="AR79" s="492">
        <f t="shared" si="51"/>
        <v>0</v>
      </c>
      <c r="AS79" s="609">
        <f>O79+AL79</f>
        <v>4.0644999999999998</v>
      </c>
    </row>
    <row r="80" spans="1:45" ht="12.95" customHeight="1" x14ac:dyDescent="0.25">
      <c r="A80" s="205">
        <v>17</v>
      </c>
      <c r="B80" s="246">
        <v>5420</v>
      </c>
      <c r="C80" s="247">
        <v>600098745</v>
      </c>
      <c r="D80" s="206">
        <v>75016249</v>
      </c>
      <c r="E80" s="248" t="s">
        <v>367</v>
      </c>
      <c r="F80" s="206">
        <v>3111</v>
      </c>
      <c r="G80" s="248" t="s">
        <v>284</v>
      </c>
      <c r="H80" s="209" t="s">
        <v>263</v>
      </c>
      <c r="I80" s="580">
        <v>401213</v>
      </c>
      <c r="J80" s="490">
        <v>297636</v>
      </c>
      <c r="K80" s="554">
        <v>0</v>
      </c>
      <c r="L80" s="431">
        <v>100601</v>
      </c>
      <c r="M80" s="431">
        <v>2976</v>
      </c>
      <c r="N80" s="325">
        <v>0</v>
      </c>
      <c r="O80" s="719">
        <v>0.75</v>
      </c>
      <c r="P80" s="327">
        <f>W80*-1</f>
        <v>0</v>
      </c>
      <c r="Q80" s="492">
        <v>0</v>
      </c>
      <c r="R80" s="325">
        <v>0</v>
      </c>
      <c r="S80" s="325">
        <v>0</v>
      </c>
      <c r="T80" s="325">
        <v>0</v>
      </c>
      <c r="U80" s="325">
        <v>0</v>
      </c>
      <c r="V80" s="492">
        <f>P80+Q80+R80+S80+T80+U80</f>
        <v>0</v>
      </c>
      <c r="W80" s="325">
        <v>0</v>
      </c>
      <c r="X80" s="325">
        <v>0</v>
      </c>
      <c r="Y80" s="325">
        <v>0</v>
      </c>
      <c r="Z80" s="492">
        <f>W80+X80+Y80</f>
        <v>0</v>
      </c>
      <c r="AA80" s="492">
        <f>V80+Z80</f>
        <v>0</v>
      </c>
      <c r="AB80" s="494">
        <f>ROUND((V80+Z80)*33.8%,0)</f>
        <v>0</v>
      </c>
      <c r="AC80" s="494">
        <f>ROUND(V80*1%,0)</f>
        <v>0</v>
      </c>
      <c r="AD80" s="492">
        <v>0</v>
      </c>
      <c r="AE80" s="753">
        <f t="shared" si="50"/>
        <v>0</v>
      </c>
      <c r="AF80" s="688">
        <v>0</v>
      </c>
      <c r="AG80" s="491">
        <v>0</v>
      </c>
      <c r="AH80" s="326">
        <v>0</v>
      </c>
      <c r="AI80" s="326">
        <v>0</v>
      </c>
      <c r="AJ80" s="326">
        <v>0</v>
      </c>
      <c r="AK80" s="326">
        <v>0</v>
      </c>
      <c r="AL80" s="609">
        <f>SUM(AF80:AK80)</f>
        <v>0</v>
      </c>
      <c r="AM80" s="676">
        <f>I80+AE80</f>
        <v>401213</v>
      </c>
      <c r="AN80" s="492">
        <f>J80+V80</f>
        <v>297636</v>
      </c>
      <c r="AO80" s="573">
        <f>K80+Z80</f>
        <v>0</v>
      </c>
      <c r="AP80" s="492">
        <f t="shared" si="51"/>
        <v>100601</v>
      </c>
      <c r="AQ80" s="492">
        <f t="shared" si="51"/>
        <v>2976</v>
      </c>
      <c r="AR80" s="492">
        <f t="shared" si="51"/>
        <v>0</v>
      </c>
      <c r="AS80" s="609">
        <f>O80+AL80</f>
        <v>0.75</v>
      </c>
    </row>
    <row r="81" spans="1:45" ht="12.95" customHeight="1" x14ac:dyDescent="0.25">
      <c r="A81" s="249">
        <v>17</v>
      </c>
      <c r="B81" s="250">
        <v>5420</v>
      </c>
      <c r="C81" s="251">
        <v>600098745</v>
      </c>
      <c r="D81" s="250">
        <v>75016249</v>
      </c>
      <c r="E81" s="252" t="s">
        <v>368</v>
      </c>
      <c r="F81" s="216"/>
      <c r="G81" s="254"/>
      <c r="H81" s="217"/>
      <c r="I81" s="668">
        <v>3681911</v>
      </c>
      <c r="J81" s="355">
        <v>2731388</v>
      </c>
      <c r="K81" s="355">
        <v>0</v>
      </c>
      <c r="L81" s="355">
        <v>923209</v>
      </c>
      <c r="M81" s="355">
        <v>27314</v>
      </c>
      <c r="N81" s="355">
        <v>0</v>
      </c>
      <c r="O81" s="780">
        <v>4.8144999999999998</v>
      </c>
      <c r="P81" s="668">
        <f t="shared" ref="P81:AS81" si="52">SUM(P79:P80)</f>
        <v>0</v>
      </c>
      <c r="Q81" s="355">
        <f t="shared" si="52"/>
        <v>0</v>
      </c>
      <c r="R81" s="355">
        <f t="shared" si="52"/>
        <v>0</v>
      </c>
      <c r="S81" s="355">
        <f t="shared" si="52"/>
        <v>0</v>
      </c>
      <c r="T81" s="355">
        <f t="shared" si="52"/>
        <v>0</v>
      </c>
      <c r="U81" s="355">
        <f t="shared" si="52"/>
        <v>0</v>
      </c>
      <c r="V81" s="355">
        <f t="shared" si="52"/>
        <v>0</v>
      </c>
      <c r="W81" s="355">
        <f t="shared" si="52"/>
        <v>0</v>
      </c>
      <c r="X81" s="355">
        <f t="shared" si="52"/>
        <v>0</v>
      </c>
      <c r="Y81" s="355">
        <f t="shared" si="52"/>
        <v>0</v>
      </c>
      <c r="Z81" s="355">
        <f t="shared" si="52"/>
        <v>0</v>
      </c>
      <c r="AA81" s="355">
        <f t="shared" si="52"/>
        <v>0</v>
      </c>
      <c r="AB81" s="355">
        <f t="shared" si="52"/>
        <v>0</v>
      </c>
      <c r="AC81" s="355">
        <f t="shared" si="52"/>
        <v>0</v>
      </c>
      <c r="AD81" s="355">
        <f t="shared" si="52"/>
        <v>0</v>
      </c>
      <c r="AE81" s="665">
        <f t="shared" si="52"/>
        <v>0</v>
      </c>
      <c r="AF81" s="793">
        <v>0</v>
      </c>
      <c r="AG81" s="356">
        <f t="shared" si="52"/>
        <v>0</v>
      </c>
      <c r="AH81" s="356">
        <f t="shared" si="52"/>
        <v>0</v>
      </c>
      <c r="AI81" s="356">
        <f t="shared" si="52"/>
        <v>0</v>
      </c>
      <c r="AJ81" s="356">
        <f t="shared" si="52"/>
        <v>0</v>
      </c>
      <c r="AK81" s="356">
        <f t="shared" si="52"/>
        <v>0</v>
      </c>
      <c r="AL81" s="253">
        <f t="shared" si="52"/>
        <v>0</v>
      </c>
      <c r="AM81" s="668">
        <f t="shared" si="52"/>
        <v>3681911</v>
      </c>
      <c r="AN81" s="355">
        <f t="shared" si="52"/>
        <v>2731388</v>
      </c>
      <c r="AO81" s="355">
        <f t="shared" si="52"/>
        <v>0</v>
      </c>
      <c r="AP81" s="355">
        <f t="shared" si="52"/>
        <v>923209</v>
      </c>
      <c r="AQ81" s="355">
        <f t="shared" si="52"/>
        <v>27314</v>
      </c>
      <c r="AR81" s="355">
        <f t="shared" si="52"/>
        <v>0</v>
      </c>
      <c r="AS81" s="253">
        <f t="shared" si="52"/>
        <v>4.8144999999999998</v>
      </c>
    </row>
    <row r="82" spans="1:45" ht="12.95" customHeight="1" x14ac:dyDescent="0.25">
      <c r="A82" s="205">
        <v>18</v>
      </c>
      <c r="B82" s="246">
        <v>5419</v>
      </c>
      <c r="C82" s="247">
        <v>600099261</v>
      </c>
      <c r="D82" s="206">
        <v>70946752</v>
      </c>
      <c r="E82" s="248" t="s">
        <v>369</v>
      </c>
      <c r="F82" s="206">
        <v>3113</v>
      </c>
      <c r="G82" s="248" t="s">
        <v>294</v>
      </c>
      <c r="H82" s="209" t="s">
        <v>262</v>
      </c>
      <c r="I82" s="610">
        <v>12222794</v>
      </c>
      <c r="J82" s="554">
        <v>9057230</v>
      </c>
      <c r="K82" s="554">
        <v>10200</v>
      </c>
      <c r="L82" s="431">
        <v>3064792</v>
      </c>
      <c r="M82" s="431">
        <v>90572</v>
      </c>
      <c r="N82" s="325">
        <v>0</v>
      </c>
      <c r="O82" s="718">
        <v>13.944599999999999</v>
      </c>
      <c r="P82" s="327">
        <f>W82*-1</f>
        <v>-6800</v>
      </c>
      <c r="Q82" s="492">
        <v>0</v>
      </c>
      <c r="R82" s="325">
        <v>0</v>
      </c>
      <c r="S82" s="325">
        <v>0</v>
      </c>
      <c r="T82" s="325">
        <v>0</v>
      </c>
      <c r="U82" s="325">
        <v>0</v>
      </c>
      <c r="V82" s="492">
        <f>P82+Q82+R82+S82+T82+U82</f>
        <v>-6800</v>
      </c>
      <c r="W82" s="325">
        <v>6800</v>
      </c>
      <c r="X82" s="325">
        <v>0</v>
      </c>
      <c r="Y82" s="325">
        <v>0</v>
      </c>
      <c r="Z82" s="492">
        <f>W82+X82+Y82</f>
        <v>6800</v>
      </c>
      <c r="AA82" s="492">
        <f>V82+Z82</f>
        <v>0</v>
      </c>
      <c r="AB82" s="494">
        <f>ROUND((V82+Z82)*33.8%,0)</f>
        <v>0</v>
      </c>
      <c r="AC82" s="494">
        <f>ROUND(V82*1%,0)</f>
        <v>-68</v>
      </c>
      <c r="AD82" s="492">
        <v>0</v>
      </c>
      <c r="AE82" s="753">
        <f t="shared" ref="AE82:AE84" si="53">AA82+AB82+AC82+AD82</f>
        <v>-68</v>
      </c>
      <c r="AF82" s="688">
        <v>-0.01</v>
      </c>
      <c r="AG82" s="491">
        <v>0</v>
      </c>
      <c r="AH82" s="326">
        <v>0</v>
      </c>
      <c r="AI82" s="326">
        <v>0</v>
      </c>
      <c r="AJ82" s="326">
        <v>0</v>
      </c>
      <c r="AK82" s="326">
        <v>0</v>
      </c>
      <c r="AL82" s="609">
        <f>SUM(AF82:AK82)</f>
        <v>-0.01</v>
      </c>
      <c r="AM82" s="676">
        <f>I82+AE82</f>
        <v>12222726</v>
      </c>
      <c r="AN82" s="492">
        <f>J82+V82</f>
        <v>9050430</v>
      </c>
      <c r="AO82" s="573">
        <f>K82+Z82</f>
        <v>17000</v>
      </c>
      <c r="AP82" s="492">
        <f t="shared" ref="AP82:AR84" si="54">L82+AB82</f>
        <v>3064792</v>
      </c>
      <c r="AQ82" s="492">
        <f t="shared" si="54"/>
        <v>90504</v>
      </c>
      <c r="AR82" s="492">
        <f t="shared" si="54"/>
        <v>0</v>
      </c>
      <c r="AS82" s="609">
        <f>O82+AL82</f>
        <v>13.9346</v>
      </c>
    </row>
    <row r="83" spans="1:45" ht="12.95" customHeight="1" x14ac:dyDescent="0.25">
      <c r="A83" s="205">
        <v>18</v>
      </c>
      <c r="B83" s="246">
        <v>5419</v>
      </c>
      <c r="C83" s="247">
        <v>600099261</v>
      </c>
      <c r="D83" s="206">
        <v>70946752</v>
      </c>
      <c r="E83" s="248" t="s">
        <v>369</v>
      </c>
      <c r="F83" s="206">
        <v>3113</v>
      </c>
      <c r="G83" s="248" t="s">
        <v>284</v>
      </c>
      <c r="H83" s="209" t="s">
        <v>263</v>
      </c>
      <c r="I83" s="580">
        <v>1232517</v>
      </c>
      <c r="J83" s="490">
        <v>914330</v>
      </c>
      <c r="K83" s="554">
        <v>0</v>
      </c>
      <c r="L83" s="431">
        <v>309044</v>
      </c>
      <c r="M83" s="431">
        <v>9143</v>
      </c>
      <c r="N83" s="325">
        <v>0</v>
      </c>
      <c r="O83" s="719">
        <v>2.29</v>
      </c>
      <c r="P83" s="327">
        <f>W83*-1</f>
        <v>0</v>
      </c>
      <c r="Q83" s="492">
        <v>165353</v>
      </c>
      <c r="R83" s="325">
        <v>0</v>
      </c>
      <c r="S83" s="325">
        <v>0</v>
      </c>
      <c r="T83" s="325">
        <v>0</v>
      </c>
      <c r="U83" s="325">
        <v>0</v>
      </c>
      <c r="V83" s="492">
        <f>P83+Q83+R83+S83+T83+U83</f>
        <v>165353</v>
      </c>
      <c r="W83" s="325">
        <v>0</v>
      </c>
      <c r="X83" s="325">
        <v>0</v>
      </c>
      <c r="Y83" s="325">
        <v>0</v>
      </c>
      <c r="Z83" s="492">
        <f>W83+X83+Y83</f>
        <v>0</v>
      </c>
      <c r="AA83" s="492">
        <f>V83+Z83</f>
        <v>165353</v>
      </c>
      <c r="AB83" s="494">
        <f>ROUND((V83+Z83)*33.8%,0)</f>
        <v>55889</v>
      </c>
      <c r="AC83" s="494">
        <f>ROUND(V83*1%,0)</f>
        <v>1654</v>
      </c>
      <c r="AD83" s="492">
        <v>0</v>
      </c>
      <c r="AE83" s="753">
        <f t="shared" si="53"/>
        <v>222896</v>
      </c>
      <c r="AF83" s="688">
        <v>0</v>
      </c>
      <c r="AG83" s="491">
        <v>0.46</v>
      </c>
      <c r="AH83" s="326">
        <v>0</v>
      </c>
      <c r="AI83" s="326">
        <v>0</v>
      </c>
      <c r="AJ83" s="326">
        <v>0</v>
      </c>
      <c r="AK83" s="326">
        <v>0</v>
      </c>
      <c r="AL83" s="609">
        <f>SUM(AF83:AK83)</f>
        <v>0.46</v>
      </c>
      <c r="AM83" s="676">
        <f>I83+AE83</f>
        <v>1455413</v>
      </c>
      <c r="AN83" s="492">
        <f>J83+V83</f>
        <v>1079683</v>
      </c>
      <c r="AO83" s="573">
        <f>K83+Z83</f>
        <v>0</v>
      </c>
      <c r="AP83" s="492">
        <f t="shared" si="54"/>
        <v>364933</v>
      </c>
      <c r="AQ83" s="492">
        <f t="shared" si="54"/>
        <v>10797</v>
      </c>
      <c r="AR83" s="492">
        <f t="shared" si="54"/>
        <v>0</v>
      </c>
      <c r="AS83" s="609">
        <f>O83+AL83</f>
        <v>2.75</v>
      </c>
    </row>
    <row r="84" spans="1:45" ht="12.95" customHeight="1" x14ac:dyDescent="0.25">
      <c r="A84" s="205">
        <v>18</v>
      </c>
      <c r="B84" s="246">
        <v>5419</v>
      </c>
      <c r="C84" s="247">
        <v>600099261</v>
      </c>
      <c r="D84" s="206">
        <v>70946752</v>
      </c>
      <c r="E84" s="248" t="s">
        <v>369</v>
      </c>
      <c r="F84" s="206">
        <v>3143</v>
      </c>
      <c r="G84" s="248" t="s">
        <v>794</v>
      </c>
      <c r="H84" s="209" t="s">
        <v>262</v>
      </c>
      <c r="I84" s="580">
        <v>672878</v>
      </c>
      <c r="J84" s="490">
        <v>496190</v>
      </c>
      <c r="K84" s="554">
        <v>3000</v>
      </c>
      <c r="L84" s="431">
        <v>168726</v>
      </c>
      <c r="M84" s="431">
        <v>4962</v>
      </c>
      <c r="N84" s="325">
        <v>0</v>
      </c>
      <c r="O84" s="719">
        <v>0.91669999999999996</v>
      </c>
      <c r="P84" s="327">
        <f>W84*-1</f>
        <v>-2000</v>
      </c>
      <c r="Q84" s="492">
        <v>0</v>
      </c>
      <c r="R84" s="325">
        <v>0</v>
      </c>
      <c r="S84" s="325">
        <v>0</v>
      </c>
      <c r="T84" s="325">
        <v>0</v>
      </c>
      <c r="U84" s="325">
        <v>0</v>
      </c>
      <c r="V84" s="492">
        <f>P84+Q84+R84+S84+T84+U84</f>
        <v>-2000</v>
      </c>
      <c r="W84" s="325">
        <v>2000</v>
      </c>
      <c r="X84" s="325">
        <v>0</v>
      </c>
      <c r="Y84" s="325">
        <v>0</v>
      </c>
      <c r="Z84" s="492">
        <f>W84+X84+Y84</f>
        <v>2000</v>
      </c>
      <c r="AA84" s="492">
        <f>V84+Z84</f>
        <v>0</v>
      </c>
      <c r="AB84" s="494">
        <f>ROUND((V84+Z84)*33.8%,0)</f>
        <v>0</v>
      </c>
      <c r="AC84" s="494">
        <f>ROUND(V84*1%,0)</f>
        <v>-20</v>
      </c>
      <c r="AD84" s="492">
        <v>0</v>
      </c>
      <c r="AE84" s="753">
        <f t="shared" si="53"/>
        <v>-20</v>
      </c>
      <c r="AF84" s="688">
        <v>0</v>
      </c>
      <c r="AG84" s="491">
        <v>0</v>
      </c>
      <c r="AH84" s="326">
        <v>0</v>
      </c>
      <c r="AI84" s="326">
        <v>0</v>
      </c>
      <c r="AJ84" s="326">
        <v>0</v>
      </c>
      <c r="AK84" s="326">
        <v>0</v>
      </c>
      <c r="AL84" s="609">
        <f>SUM(AF84:AK84)</f>
        <v>0</v>
      </c>
      <c r="AM84" s="676">
        <f>I84+AE84</f>
        <v>672858</v>
      </c>
      <c r="AN84" s="492">
        <f>J84+V84</f>
        <v>494190</v>
      </c>
      <c r="AO84" s="573">
        <f>K84+Z84</f>
        <v>5000</v>
      </c>
      <c r="AP84" s="492">
        <f t="shared" si="54"/>
        <v>168726</v>
      </c>
      <c r="AQ84" s="492">
        <f t="shared" si="54"/>
        <v>4942</v>
      </c>
      <c r="AR84" s="492">
        <f t="shared" si="54"/>
        <v>0</v>
      </c>
      <c r="AS84" s="609">
        <f>O84+AL84</f>
        <v>0.91669999999999996</v>
      </c>
    </row>
    <row r="85" spans="1:45" ht="12.95" customHeight="1" x14ac:dyDescent="0.25">
      <c r="A85" s="249">
        <v>18</v>
      </c>
      <c r="B85" s="250">
        <v>5419</v>
      </c>
      <c r="C85" s="251">
        <v>600099261</v>
      </c>
      <c r="D85" s="250">
        <v>70946752</v>
      </c>
      <c r="E85" s="252" t="s">
        <v>370</v>
      </c>
      <c r="F85" s="216"/>
      <c r="G85" s="254"/>
      <c r="H85" s="217"/>
      <c r="I85" s="669">
        <v>14128189</v>
      </c>
      <c r="J85" s="357">
        <v>10467750</v>
      </c>
      <c r="K85" s="357">
        <v>13200</v>
      </c>
      <c r="L85" s="357">
        <v>3542562</v>
      </c>
      <c r="M85" s="357">
        <v>104677</v>
      </c>
      <c r="N85" s="357">
        <v>0</v>
      </c>
      <c r="O85" s="798">
        <v>17.151299999999999</v>
      </c>
      <c r="P85" s="669">
        <f t="shared" ref="P85:AS85" si="55">SUM(P82:P84)</f>
        <v>-8800</v>
      </c>
      <c r="Q85" s="357">
        <f t="shared" si="55"/>
        <v>165353</v>
      </c>
      <c r="R85" s="357">
        <f t="shared" si="55"/>
        <v>0</v>
      </c>
      <c r="S85" s="357">
        <f t="shared" si="55"/>
        <v>0</v>
      </c>
      <c r="T85" s="357">
        <f t="shared" si="55"/>
        <v>0</v>
      </c>
      <c r="U85" s="357">
        <f t="shared" si="55"/>
        <v>0</v>
      </c>
      <c r="V85" s="357">
        <f t="shared" si="55"/>
        <v>156553</v>
      </c>
      <c r="W85" s="357">
        <f t="shared" si="55"/>
        <v>8800</v>
      </c>
      <c r="X85" s="357">
        <f t="shared" si="55"/>
        <v>0</v>
      </c>
      <c r="Y85" s="357">
        <f t="shared" si="55"/>
        <v>0</v>
      </c>
      <c r="Z85" s="357">
        <f t="shared" si="55"/>
        <v>8800</v>
      </c>
      <c r="AA85" s="357">
        <f t="shared" si="55"/>
        <v>165353</v>
      </c>
      <c r="AB85" s="357">
        <f t="shared" si="55"/>
        <v>55889</v>
      </c>
      <c r="AC85" s="357">
        <f t="shared" si="55"/>
        <v>1566</v>
      </c>
      <c r="AD85" s="357">
        <f t="shared" si="55"/>
        <v>0</v>
      </c>
      <c r="AE85" s="666">
        <f t="shared" si="55"/>
        <v>222808</v>
      </c>
      <c r="AF85" s="799">
        <f t="shared" si="55"/>
        <v>-0.01</v>
      </c>
      <c r="AG85" s="358">
        <f t="shared" si="55"/>
        <v>0.46</v>
      </c>
      <c r="AH85" s="358">
        <f t="shared" si="55"/>
        <v>0</v>
      </c>
      <c r="AI85" s="358">
        <f t="shared" si="55"/>
        <v>0</v>
      </c>
      <c r="AJ85" s="358">
        <f t="shared" si="55"/>
        <v>0</v>
      </c>
      <c r="AK85" s="358">
        <f t="shared" si="55"/>
        <v>0</v>
      </c>
      <c r="AL85" s="258">
        <f t="shared" si="55"/>
        <v>0.45</v>
      </c>
      <c r="AM85" s="669">
        <f t="shared" si="55"/>
        <v>14350997</v>
      </c>
      <c r="AN85" s="357">
        <f t="shared" si="55"/>
        <v>10624303</v>
      </c>
      <c r="AO85" s="357">
        <f t="shared" si="55"/>
        <v>22000</v>
      </c>
      <c r="AP85" s="357">
        <f t="shared" si="55"/>
        <v>3598451</v>
      </c>
      <c r="AQ85" s="357">
        <f t="shared" si="55"/>
        <v>106243</v>
      </c>
      <c r="AR85" s="357">
        <f t="shared" si="55"/>
        <v>0</v>
      </c>
      <c r="AS85" s="258">
        <f t="shared" si="55"/>
        <v>17.601299999999998</v>
      </c>
    </row>
    <row r="86" spans="1:45" ht="12.95" customHeight="1" x14ac:dyDescent="0.25">
      <c r="A86" s="205">
        <v>19</v>
      </c>
      <c r="B86" s="246">
        <v>5425</v>
      </c>
      <c r="C86" s="255">
        <v>600099521</v>
      </c>
      <c r="D86" s="206">
        <v>854859</v>
      </c>
      <c r="E86" s="248" t="s">
        <v>371</v>
      </c>
      <c r="F86" s="206">
        <v>3233</v>
      </c>
      <c r="G86" s="248" t="s">
        <v>372</v>
      </c>
      <c r="H86" s="209" t="s">
        <v>263</v>
      </c>
      <c r="I86" s="610">
        <v>2458182</v>
      </c>
      <c r="J86" s="554">
        <v>1823576</v>
      </c>
      <c r="K86" s="554">
        <v>0</v>
      </c>
      <c r="L86" s="431">
        <v>616370</v>
      </c>
      <c r="M86" s="431">
        <v>18236</v>
      </c>
      <c r="N86" s="325">
        <v>0</v>
      </c>
      <c r="O86" s="718">
        <v>3.09</v>
      </c>
      <c r="P86" s="327">
        <f>W86*-1</f>
        <v>0</v>
      </c>
      <c r="Q86" s="492">
        <v>0</v>
      </c>
      <c r="R86" s="325">
        <v>0</v>
      </c>
      <c r="S86" s="325">
        <v>0</v>
      </c>
      <c r="T86" s="325">
        <v>0</v>
      </c>
      <c r="U86" s="325">
        <v>0</v>
      </c>
      <c r="V86" s="492">
        <f>P86+Q86+R86+S86+T86+U86</f>
        <v>0</v>
      </c>
      <c r="W86" s="325">
        <v>0</v>
      </c>
      <c r="X86" s="325">
        <v>0</v>
      </c>
      <c r="Y86" s="325">
        <v>0</v>
      </c>
      <c r="Z86" s="492">
        <f>W86+X86+Y86</f>
        <v>0</v>
      </c>
      <c r="AA86" s="492">
        <f>V86+Z86</f>
        <v>0</v>
      </c>
      <c r="AB86" s="494">
        <f>ROUND((V86+Z86)*33.8%,0)</f>
        <v>0</v>
      </c>
      <c r="AC86" s="494">
        <f>ROUND(V86*1%,0)</f>
        <v>0</v>
      </c>
      <c r="AD86" s="492">
        <v>0</v>
      </c>
      <c r="AE86" s="753">
        <f>AA86+AB86+AC86+AD86</f>
        <v>0</v>
      </c>
      <c r="AF86" s="688">
        <v>0</v>
      </c>
      <c r="AG86" s="491">
        <v>0</v>
      </c>
      <c r="AH86" s="326">
        <v>0</v>
      </c>
      <c r="AI86" s="326">
        <v>0</v>
      </c>
      <c r="AJ86" s="326">
        <v>0</v>
      </c>
      <c r="AK86" s="326">
        <v>0</v>
      </c>
      <c r="AL86" s="609">
        <f>SUM(AF86:AK86)</f>
        <v>0</v>
      </c>
      <c r="AM86" s="676">
        <f>I86+AE86</f>
        <v>2458182</v>
      </c>
      <c r="AN86" s="492">
        <f>J86+V86</f>
        <v>1823576</v>
      </c>
      <c r="AO86" s="573">
        <f>K86+Z86</f>
        <v>0</v>
      </c>
      <c r="AP86" s="492">
        <f>L86+AB86</f>
        <v>616370</v>
      </c>
      <c r="AQ86" s="492">
        <f>M86+AC86</f>
        <v>18236</v>
      </c>
      <c r="AR86" s="492">
        <f>N86+AD86</f>
        <v>0</v>
      </c>
      <c r="AS86" s="609">
        <f>O86+AL86</f>
        <v>3.09</v>
      </c>
    </row>
    <row r="87" spans="1:45" ht="12.95" customHeight="1" x14ac:dyDescent="0.25">
      <c r="A87" s="249">
        <v>19</v>
      </c>
      <c r="B87" s="250">
        <v>5425</v>
      </c>
      <c r="C87" s="251">
        <v>600099521</v>
      </c>
      <c r="D87" s="250">
        <v>854859</v>
      </c>
      <c r="E87" s="252" t="s">
        <v>373</v>
      </c>
      <c r="F87" s="216"/>
      <c r="G87" s="254"/>
      <c r="H87" s="217"/>
      <c r="I87" s="668">
        <v>2458182</v>
      </c>
      <c r="J87" s="355">
        <v>1823576</v>
      </c>
      <c r="K87" s="355">
        <v>0</v>
      </c>
      <c r="L87" s="355">
        <v>616370</v>
      </c>
      <c r="M87" s="355">
        <v>18236</v>
      </c>
      <c r="N87" s="355">
        <v>0</v>
      </c>
      <c r="O87" s="780">
        <v>3.09</v>
      </c>
      <c r="P87" s="668">
        <f t="shared" ref="P87:AS87" si="56">SUM(P86)</f>
        <v>0</v>
      </c>
      <c r="Q87" s="355">
        <f t="shared" si="56"/>
        <v>0</v>
      </c>
      <c r="R87" s="355">
        <f t="shared" si="56"/>
        <v>0</v>
      </c>
      <c r="S87" s="355">
        <f t="shared" si="56"/>
        <v>0</v>
      </c>
      <c r="T87" s="355">
        <f t="shared" si="56"/>
        <v>0</v>
      </c>
      <c r="U87" s="355">
        <f t="shared" si="56"/>
        <v>0</v>
      </c>
      <c r="V87" s="355">
        <f t="shared" si="56"/>
        <v>0</v>
      </c>
      <c r="W87" s="355">
        <f t="shared" si="56"/>
        <v>0</v>
      </c>
      <c r="X87" s="355">
        <f t="shared" si="56"/>
        <v>0</v>
      </c>
      <c r="Y87" s="355">
        <f t="shared" si="56"/>
        <v>0</v>
      </c>
      <c r="Z87" s="355">
        <f t="shared" si="56"/>
        <v>0</v>
      </c>
      <c r="AA87" s="355">
        <f t="shared" si="56"/>
        <v>0</v>
      </c>
      <c r="AB87" s="355">
        <f t="shared" si="56"/>
        <v>0</v>
      </c>
      <c r="AC87" s="355">
        <f t="shared" si="56"/>
        <v>0</v>
      </c>
      <c r="AD87" s="355">
        <f t="shared" si="56"/>
        <v>0</v>
      </c>
      <c r="AE87" s="665">
        <f t="shared" si="56"/>
        <v>0</v>
      </c>
      <c r="AF87" s="793">
        <v>0</v>
      </c>
      <c r="AG87" s="356">
        <f t="shared" si="56"/>
        <v>0</v>
      </c>
      <c r="AH87" s="356">
        <f t="shared" si="56"/>
        <v>0</v>
      </c>
      <c r="AI87" s="356">
        <f t="shared" si="56"/>
        <v>0</v>
      </c>
      <c r="AJ87" s="356">
        <f t="shared" si="56"/>
        <v>0</v>
      </c>
      <c r="AK87" s="356">
        <f t="shared" si="56"/>
        <v>0</v>
      </c>
      <c r="AL87" s="253">
        <f t="shared" si="56"/>
        <v>0</v>
      </c>
      <c r="AM87" s="668">
        <f t="shared" si="56"/>
        <v>2458182</v>
      </c>
      <c r="AN87" s="355">
        <f t="shared" si="56"/>
        <v>1823576</v>
      </c>
      <c r="AO87" s="355">
        <f t="shared" si="56"/>
        <v>0</v>
      </c>
      <c r="AP87" s="355">
        <f t="shared" si="56"/>
        <v>616370</v>
      </c>
      <c r="AQ87" s="355">
        <f t="shared" si="56"/>
        <v>18236</v>
      </c>
      <c r="AR87" s="355">
        <f t="shared" si="56"/>
        <v>0</v>
      </c>
      <c r="AS87" s="253">
        <f t="shared" si="56"/>
        <v>3.09</v>
      </c>
    </row>
    <row r="88" spans="1:45" ht="12.95" customHeight="1" x14ac:dyDescent="0.25">
      <c r="A88" s="205">
        <v>20</v>
      </c>
      <c r="B88" s="246">
        <v>5426</v>
      </c>
      <c r="C88" s="247">
        <v>600098761</v>
      </c>
      <c r="D88" s="206">
        <v>72742615</v>
      </c>
      <c r="E88" s="248" t="s">
        <v>374</v>
      </c>
      <c r="F88" s="206">
        <v>3111</v>
      </c>
      <c r="G88" s="248" t="s">
        <v>290</v>
      </c>
      <c r="H88" s="209" t="s">
        <v>262</v>
      </c>
      <c r="I88" s="610">
        <v>6369516</v>
      </c>
      <c r="J88" s="554">
        <v>4725160</v>
      </c>
      <c r="K88" s="554">
        <v>0</v>
      </c>
      <c r="L88" s="431">
        <v>1597104</v>
      </c>
      <c r="M88" s="431">
        <v>47252</v>
      </c>
      <c r="N88" s="325">
        <v>0</v>
      </c>
      <c r="O88" s="718">
        <v>8</v>
      </c>
      <c r="P88" s="327">
        <f>W88*-1</f>
        <v>0</v>
      </c>
      <c r="Q88" s="492">
        <v>0</v>
      </c>
      <c r="R88" s="325">
        <v>0</v>
      </c>
      <c r="S88" s="325">
        <v>0</v>
      </c>
      <c r="T88" s="325">
        <v>0</v>
      </c>
      <c r="U88" s="325">
        <v>0</v>
      </c>
      <c r="V88" s="492">
        <f>P88+Q88+R88+S88+T88+U88</f>
        <v>0</v>
      </c>
      <c r="W88" s="325">
        <v>0</v>
      </c>
      <c r="X88" s="325">
        <v>0</v>
      </c>
      <c r="Y88" s="325">
        <v>0</v>
      </c>
      <c r="Z88" s="492">
        <f>W88+X88+Y88</f>
        <v>0</v>
      </c>
      <c r="AA88" s="492">
        <f>V88+Z88</f>
        <v>0</v>
      </c>
      <c r="AB88" s="494">
        <f>ROUND((V88+Z88)*33.8%,0)</f>
        <v>0</v>
      </c>
      <c r="AC88" s="494">
        <f>ROUND(V88*1%,0)</f>
        <v>0</v>
      </c>
      <c r="AD88" s="492">
        <v>0</v>
      </c>
      <c r="AE88" s="753">
        <f t="shared" ref="AE88:AE89" si="57">AA88+AB88+AC88+AD88</f>
        <v>0</v>
      </c>
      <c r="AF88" s="688">
        <v>0</v>
      </c>
      <c r="AG88" s="491">
        <v>0</v>
      </c>
      <c r="AH88" s="326">
        <v>0</v>
      </c>
      <c r="AI88" s="326">
        <v>0</v>
      </c>
      <c r="AJ88" s="326">
        <v>0</v>
      </c>
      <c r="AK88" s="326">
        <v>0</v>
      </c>
      <c r="AL88" s="609">
        <f>SUM(AF88:AK88)</f>
        <v>0</v>
      </c>
      <c r="AM88" s="676">
        <f>I88+AE88</f>
        <v>6369516</v>
      </c>
      <c r="AN88" s="492">
        <f>J88+V88</f>
        <v>4725160</v>
      </c>
      <c r="AO88" s="573">
        <f>K88+Z88</f>
        <v>0</v>
      </c>
      <c r="AP88" s="492">
        <f t="shared" ref="AP88:AR89" si="58">L88+AB88</f>
        <v>1597104</v>
      </c>
      <c r="AQ88" s="492">
        <f t="shared" si="58"/>
        <v>47252</v>
      </c>
      <c r="AR88" s="492">
        <f t="shared" si="58"/>
        <v>0</v>
      </c>
      <c r="AS88" s="609">
        <f>O88+AL88</f>
        <v>8</v>
      </c>
    </row>
    <row r="89" spans="1:45" ht="12.95" customHeight="1" x14ac:dyDescent="0.25">
      <c r="A89" s="205">
        <v>20</v>
      </c>
      <c r="B89" s="246">
        <v>5426</v>
      </c>
      <c r="C89" s="247">
        <v>600098761</v>
      </c>
      <c r="D89" s="206">
        <v>72742615</v>
      </c>
      <c r="E89" s="248" t="s">
        <v>374</v>
      </c>
      <c r="F89" s="206">
        <v>3111</v>
      </c>
      <c r="G89" s="256" t="s">
        <v>284</v>
      </c>
      <c r="H89" s="209" t="s">
        <v>263</v>
      </c>
      <c r="I89" s="580">
        <v>1408792</v>
      </c>
      <c r="J89" s="490">
        <v>1045098</v>
      </c>
      <c r="K89" s="554">
        <v>0</v>
      </c>
      <c r="L89" s="431">
        <v>353243</v>
      </c>
      <c r="M89" s="431">
        <v>10451</v>
      </c>
      <c r="N89" s="325">
        <v>0</v>
      </c>
      <c r="O89" s="719">
        <v>2.6</v>
      </c>
      <c r="P89" s="327">
        <f>W89*-1</f>
        <v>0</v>
      </c>
      <c r="Q89" s="492">
        <v>0</v>
      </c>
      <c r="R89" s="325">
        <v>0</v>
      </c>
      <c r="S89" s="325">
        <v>0</v>
      </c>
      <c r="T89" s="325">
        <v>0</v>
      </c>
      <c r="U89" s="325">
        <v>0</v>
      </c>
      <c r="V89" s="492">
        <f>P89+Q89+R89+S89+T89+U89</f>
        <v>0</v>
      </c>
      <c r="W89" s="325">
        <v>0</v>
      </c>
      <c r="X89" s="325">
        <v>0</v>
      </c>
      <c r="Y89" s="325">
        <v>0</v>
      </c>
      <c r="Z89" s="492">
        <f>W89+X89+Y89</f>
        <v>0</v>
      </c>
      <c r="AA89" s="492">
        <f>V89+Z89</f>
        <v>0</v>
      </c>
      <c r="AB89" s="494">
        <f>ROUND((V89+Z89)*33.8%,0)</f>
        <v>0</v>
      </c>
      <c r="AC89" s="494">
        <f>ROUND(V89*1%,0)</f>
        <v>0</v>
      </c>
      <c r="AD89" s="492">
        <v>0</v>
      </c>
      <c r="AE89" s="753">
        <f t="shared" si="57"/>
        <v>0</v>
      </c>
      <c r="AF89" s="688">
        <v>0</v>
      </c>
      <c r="AG89" s="491">
        <v>0</v>
      </c>
      <c r="AH89" s="326">
        <v>0</v>
      </c>
      <c r="AI89" s="326">
        <v>0</v>
      </c>
      <c r="AJ89" s="326">
        <v>0</v>
      </c>
      <c r="AK89" s="326">
        <v>0</v>
      </c>
      <c r="AL89" s="609">
        <f>SUM(AF89:AK89)</f>
        <v>0</v>
      </c>
      <c r="AM89" s="676">
        <f>I89+AE89</f>
        <v>1408792</v>
      </c>
      <c r="AN89" s="492">
        <f>J89+V89</f>
        <v>1045098</v>
      </c>
      <c r="AO89" s="573">
        <f>K89+Z89</f>
        <v>0</v>
      </c>
      <c r="AP89" s="492">
        <f t="shared" si="58"/>
        <v>353243</v>
      </c>
      <c r="AQ89" s="492">
        <f t="shared" si="58"/>
        <v>10451</v>
      </c>
      <c r="AR89" s="492">
        <f t="shared" si="58"/>
        <v>0</v>
      </c>
      <c r="AS89" s="609">
        <f>O89+AL89</f>
        <v>2.6</v>
      </c>
    </row>
    <row r="90" spans="1:45" ht="12.95" customHeight="1" x14ac:dyDescent="0.25">
      <c r="A90" s="249">
        <v>20</v>
      </c>
      <c r="B90" s="250">
        <v>5426</v>
      </c>
      <c r="C90" s="251">
        <v>600098761</v>
      </c>
      <c r="D90" s="250">
        <v>72742615</v>
      </c>
      <c r="E90" s="252" t="s">
        <v>375</v>
      </c>
      <c r="F90" s="216"/>
      <c r="G90" s="254"/>
      <c r="H90" s="217"/>
      <c r="I90" s="669">
        <v>7778308</v>
      </c>
      <c r="J90" s="357">
        <v>5770258</v>
      </c>
      <c r="K90" s="357">
        <v>0</v>
      </c>
      <c r="L90" s="357">
        <v>1950347</v>
      </c>
      <c r="M90" s="357">
        <v>57703</v>
      </c>
      <c r="N90" s="357">
        <v>0</v>
      </c>
      <c r="O90" s="798">
        <v>10.6</v>
      </c>
      <c r="P90" s="669">
        <f t="shared" ref="P90:AS90" si="59">SUM(P88:P89)</f>
        <v>0</v>
      </c>
      <c r="Q90" s="357">
        <f t="shared" si="59"/>
        <v>0</v>
      </c>
      <c r="R90" s="357">
        <f t="shared" si="59"/>
        <v>0</v>
      </c>
      <c r="S90" s="357">
        <f t="shared" si="59"/>
        <v>0</v>
      </c>
      <c r="T90" s="357">
        <f t="shared" si="59"/>
        <v>0</v>
      </c>
      <c r="U90" s="357">
        <f t="shared" si="59"/>
        <v>0</v>
      </c>
      <c r="V90" s="357">
        <f t="shared" si="59"/>
        <v>0</v>
      </c>
      <c r="W90" s="357">
        <f t="shared" si="59"/>
        <v>0</v>
      </c>
      <c r="X90" s="357">
        <f t="shared" si="59"/>
        <v>0</v>
      </c>
      <c r="Y90" s="357">
        <f t="shared" si="59"/>
        <v>0</v>
      </c>
      <c r="Z90" s="357">
        <f t="shared" si="59"/>
        <v>0</v>
      </c>
      <c r="AA90" s="357">
        <f t="shared" si="59"/>
        <v>0</v>
      </c>
      <c r="AB90" s="357">
        <f t="shared" si="59"/>
        <v>0</v>
      </c>
      <c r="AC90" s="357">
        <f t="shared" si="59"/>
        <v>0</v>
      </c>
      <c r="AD90" s="357">
        <f t="shared" si="59"/>
        <v>0</v>
      </c>
      <c r="AE90" s="666">
        <f t="shared" si="59"/>
        <v>0</v>
      </c>
      <c r="AF90" s="799">
        <v>0</v>
      </c>
      <c r="AG90" s="358">
        <f t="shared" si="59"/>
        <v>0</v>
      </c>
      <c r="AH90" s="358">
        <f t="shared" si="59"/>
        <v>0</v>
      </c>
      <c r="AI90" s="358">
        <f t="shared" si="59"/>
        <v>0</v>
      </c>
      <c r="AJ90" s="358">
        <f t="shared" si="59"/>
        <v>0</v>
      </c>
      <c r="AK90" s="358">
        <f t="shared" si="59"/>
        <v>0</v>
      </c>
      <c r="AL90" s="258">
        <f t="shared" si="59"/>
        <v>0</v>
      </c>
      <c r="AM90" s="669">
        <f t="shared" si="59"/>
        <v>7778308</v>
      </c>
      <c r="AN90" s="357">
        <f t="shared" si="59"/>
        <v>5770258</v>
      </c>
      <c r="AO90" s="357">
        <f t="shared" si="59"/>
        <v>0</v>
      </c>
      <c r="AP90" s="357">
        <f t="shared" si="59"/>
        <v>1950347</v>
      </c>
      <c r="AQ90" s="357">
        <f t="shared" si="59"/>
        <v>57703</v>
      </c>
      <c r="AR90" s="357">
        <f t="shared" si="59"/>
        <v>0</v>
      </c>
      <c r="AS90" s="258">
        <f t="shared" si="59"/>
        <v>10.6</v>
      </c>
    </row>
    <row r="91" spans="1:45" ht="12.95" customHeight="1" x14ac:dyDescent="0.25">
      <c r="A91" s="205">
        <v>21</v>
      </c>
      <c r="B91" s="246">
        <v>5423</v>
      </c>
      <c r="C91" s="247">
        <v>600098516</v>
      </c>
      <c r="D91" s="206">
        <v>72742453</v>
      </c>
      <c r="E91" s="248" t="s">
        <v>376</v>
      </c>
      <c r="F91" s="206">
        <v>3111</v>
      </c>
      <c r="G91" s="248" t="s">
        <v>290</v>
      </c>
      <c r="H91" s="209" t="s">
        <v>262</v>
      </c>
      <c r="I91" s="610">
        <v>9725183</v>
      </c>
      <c r="J91" s="554">
        <v>7214528</v>
      </c>
      <c r="K91" s="554">
        <v>0</v>
      </c>
      <c r="L91" s="431">
        <v>2438510</v>
      </c>
      <c r="M91" s="431">
        <v>72145</v>
      </c>
      <c r="N91" s="325">
        <v>0</v>
      </c>
      <c r="O91" s="718">
        <v>11.935499999999999</v>
      </c>
      <c r="P91" s="327">
        <f>W91*-1</f>
        <v>0</v>
      </c>
      <c r="Q91" s="492">
        <v>0</v>
      </c>
      <c r="R91" s="325">
        <v>0</v>
      </c>
      <c r="S91" s="325">
        <v>0</v>
      </c>
      <c r="T91" s="325">
        <v>0</v>
      </c>
      <c r="U91" s="325">
        <v>0</v>
      </c>
      <c r="V91" s="492">
        <f>P91+Q91+R91+S91+T91+U91</f>
        <v>0</v>
      </c>
      <c r="W91" s="325">
        <v>0</v>
      </c>
      <c r="X91" s="325">
        <v>0</v>
      </c>
      <c r="Y91" s="325">
        <v>0</v>
      </c>
      <c r="Z91" s="492">
        <f>W91+X91+Y91</f>
        <v>0</v>
      </c>
      <c r="AA91" s="492">
        <f>V91+Z91</f>
        <v>0</v>
      </c>
      <c r="AB91" s="494">
        <f>ROUND((V91+Z91)*33.8%,0)</f>
        <v>0</v>
      </c>
      <c r="AC91" s="494">
        <f>ROUND(V91*1%,0)</f>
        <v>0</v>
      </c>
      <c r="AD91" s="492">
        <v>0</v>
      </c>
      <c r="AE91" s="753">
        <f t="shared" ref="AE91:AE92" si="60">AA91+AB91+AC91+AD91</f>
        <v>0</v>
      </c>
      <c r="AF91" s="688">
        <v>0</v>
      </c>
      <c r="AG91" s="491">
        <v>0</v>
      </c>
      <c r="AH91" s="326">
        <v>0</v>
      </c>
      <c r="AI91" s="326">
        <v>0</v>
      </c>
      <c r="AJ91" s="326">
        <v>0</v>
      </c>
      <c r="AK91" s="326">
        <v>0</v>
      </c>
      <c r="AL91" s="609">
        <f>SUM(AF91:AK91)</f>
        <v>0</v>
      </c>
      <c r="AM91" s="676">
        <f>I91+AE91</f>
        <v>9725183</v>
      </c>
      <c r="AN91" s="492">
        <f>J91+V91</f>
        <v>7214528</v>
      </c>
      <c r="AO91" s="573">
        <f>K91+Z91</f>
        <v>0</v>
      </c>
      <c r="AP91" s="492">
        <f t="shared" ref="AP91:AR92" si="61">L91+AB91</f>
        <v>2438510</v>
      </c>
      <c r="AQ91" s="492">
        <f t="shared" si="61"/>
        <v>72145</v>
      </c>
      <c r="AR91" s="492">
        <f t="shared" si="61"/>
        <v>0</v>
      </c>
      <c r="AS91" s="609">
        <f>O91+AL91</f>
        <v>11.935499999999999</v>
      </c>
    </row>
    <row r="92" spans="1:45" ht="12.95" customHeight="1" x14ac:dyDescent="0.25">
      <c r="A92" s="205">
        <v>21</v>
      </c>
      <c r="B92" s="246">
        <v>5423</v>
      </c>
      <c r="C92" s="247">
        <v>600098516</v>
      </c>
      <c r="D92" s="206">
        <v>72742453</v>
      </c>
      <c r="E92" s="248" t="s">
        <v>376</v>
      </c>
      <c r="F92" s="206">
        <v>3111</v>
      </c>
      <c r="G92" s="248" t="s">
        <v>284</v>
      </c>
      <c r="H92" s="209" t="s">
        <v>263</v>
      </c>
      <c r="I92" s="580">
        <v>2006063</v>
      </c>
      <c r="J92" s="490">
        <v>1488177</v>
      </c>
      <c r="K92" s="554">
        <v>0</v>
      </c>
      <c r="L92" s="431">
        <v>503004</v>
      </c>
      <c r="M92" s="431">
        <v>14882</v>
      </c>
      <c r="N92" s="325">
        <v>0</v>
      </c>
      <c r="O92" s="719">
        <v>3.75</v>
      </c>
      <c r="P92" s="327">
        <f>W92*-1</f>
        <v>0</v>
      </c>
      <c r="Q92" s="492">
        <v>0</v>
      </c>
      <c r="R92" s="325">
        <v>0</v>
      </c>
      <c r="S92" s="325">
        <v>0</v>
      </c>
      <c r="T92" s="325">
        <v>0</v>
      </c>
      <c r="U92" s="325">
        <v>0</v>
      </c>
      <c r="V92" s="492">
        <f>P92+Q92+R92+S92+T92+U92</f>
        <v>0</v>
      </c>
      <c r="W92" s="325">
        <v>0</v>
      </c>
      <c r="X92" s="325">
        <v>0</v>
      </c>
      <c r="Y92" s="325">
        <v>0</v>
      </c>
      <c r="Z92" s="492">
        <f>W92+X92+Y92</f>
        <v>0</v>
      </c>
      <c r="AA92" s="492">
        <f>V92+Z92</f>
        <v>0</v>
      </c>
      <c r="AB92" s="494">
        <f>ROUND((V92+Z92)*33.8%,0)</f>
        <v>0</v>
      </c>
      <c r="AC92" s="494">
        <f>ROUND(V92*1%,0)</f>
        <v>0</v>
      </c>
      <c r="AD92" s="492">
        <v>0</v>
      </c>
      <c r="AE92" s="753">
        <f t="shared" si="60"/>
        <v>0</v>
      </c>
      <c r="AF92" s="688">
        <v>0</v>
      </c>
      <c r="AG92" s="491">
        <v>0</v>
      </c>
      <c r="AH92" s="326">
        <v>0</v>
      </c>
      <c r="AI92" s="326">
        <v>0</v>
      </c>
      <c r="AJ92" s="326">
        <v>0</v>
      </c>
      <c r="AK92" s="326">
        <v>0</v>
      </c>
      <c r="AL92" s="609">
        <f>SUM(AF92:AK92)</f>
        <v>0</v>
      </c>
      <c r="AM92" s="676">
        <f>I92+AE92</f>
        <v>2006063</v>
      </c>
      <c r="AN92" s="492">
        <f>J92+V92</f>
        <v>1488177</v>
      </c>
      <c r="AO92" s="573">
        <f>K92+Z92</f>
        <v>0</v>
      </c>
      <c r="AP92" s="492">
        <f t="shared" si="61"/>
        <v>503004</v>
      </c>
      <c r="AQ92" s="492">
        <f t="shared" si="61"/>
        <v>14882</v>
      </c>
      <c r="AR92" s="492">
        <f t="shared" si="61"/>
        <v>0</v>
      </c>
      <c r="AS92" s="609">
        <f>O92+AL92</f>
        <v>3.75</v>
      </c>
    </row>
    <row r="93" spans="1:45" ht="12.95" customHeight="1" x14ac:dyDescent="0.25">
      <c r="A93" s="249">
        <v>21</v>
      </c>
      <c r="B93" s="250">
        <v>5423</v>
      </c>
      <c r="C93" s="251">
        <v>600098516</v>
      </c>
      <c r="D93" s="250">
        <v>72742453</v>
      </c>
      <c r="E93" s="252" t="s">
        <v>377</v>
      </c>
      <c r="F93" s="216"/>
      <c r="G93" s="254"/>
      <c r="H93" s="217"/>
      <c r="I93" s="668">
        <v>11731246</v>
      </c>
      <c r="J93" s="355">
        <v>8702705</v>
      </c>
      <c r="K93" s="355">
        <v>0</v>
      </c>
      <c r="L93" s="355">
        <v>2941514</v>
      </c>
      <c r="M93" s="355">
        <v>87027</v>
      </c>
      <c r="N93" s="355">
        <v>0</v>
      </c>
      <c r="O93" s="780">
        <v>15.685499999999999</v>
      </c>
      <c r="P93" s="668">
        <f t="shared" ref="P93:AS93" si="62">SUM(P91:P92)</f>
        <v>0</v>
      </c>
      <c r="Q93" s="355">
        <f t="shared" si="62"/>
        <v>0</v>
      </c>
      <c r="R93" s="355">
        <f t="shared" si="62"/>
        <v>0</v>
      </c>
      <c r="S93" s="355">
        <f t="shared" si="62"/>
        <v>0</v>
      </c>
      <c r="T93" s="355">
        <f t="shared" si="62"/>
        <v>0</v>
      </c>
      <c r="U93" s="355">
        <f t="shared" si="62"/>
        <v>0</v>
      </c>
      <c r="V93" s="355">
        <f t="shared" si="62"/>
        <v>0</v>
      </c>
      <c r="W93" s="355">
        <f t="shared" si="62"/>
        <v>0</v>
      </c>
      <c r="X93" s="355">
        <f t="shared" si="62"/>
        <v>0</v>
      </c>
      <c r="Y93" s="355">
        <f t="shared" si="62"/>
        <v>0</v>
      </c>
      <c r="Z93" s="355">
        <f t="shared" si="62"/>
        <v>0</v>
      </c>
      <c r="AA93" s="355">
        <f t="shared" si="62"/>
        <v>0</v>
      </c>
      <c r="AB93" s="355">
        <f t="shared" si="62"/>
        <v>0</v>
      </c>
      <c r="AC93" s="355">
        <f t="shared" si="62"/>
        <v>0</v>
      </c>
      <c r="AD93" s="355">
        <f t="shared" si="62"/>
        <v>0</v>
      </c>
      <c r="AE93" s="665">
        <f t="shared" si="62"/>
        <v>0</v>
      </c>
      <c r="AF93" s="793">
        <v>0</v>
      </c>
      <c r="AG93" s="356">
        <f t="shared" si="62"/>
        <v>0</v>
      </c>
      <c r="AH93" s="356">
        <f t="shared" si="62"/>
        <v>0</v>
      </c>
      <c r="AI93" s="356">
        <f t="shared" si="62"/>
        <v>0</v>
      </c>
      <c r="AJ93" s="356">
        <f t="shared" si="62"/>
        <v>0</v>
      </c>
      <c r="AK93" s="356">
        <f t="shared" si="62"/>
        <v>0</v>
      </c>
      <c r="AL93" s="253">
        <f t="shared" si="62"/>
        <v>0</v>
      </c>
      <c r="AM93" s="668">
        <f t="shared" si="62"/>
        <v>11731246</v>
      </c>
      <c r="AN93" s="355">
        <f t="shared" si="62"/>
        <v>8702705</v>
      </c>
      <c r="AO93" s="355">
        <f t="shared" si="62"/>
        <v>0</v>
      </c>
      <c r="AP93" s="355">
        <f t="shared" si="62"/>
        <v>2941514</v>
      </c>
      <c r="AQ93" s="355">
        <f t="shared" si="62"/>
        <v>87027</v>
      </c>
      <c r="AR93" s="355">
        <f t="shared" si="62"/>
        <v>0</v>
      </c>
      <c r="AS93" s="253">
        <f t="shared" si="62"/>
        <v>15.685499999999999</v>
      </c>
    </row>
    <row r="94" spans="1:45" ht="12.95" customHeight="1" x14ac:dyDescent="0.25">
      <c r="A94" s="205">
        <v>22</v>
      </c>
      <c r="B94" s="246">
        <v>5422</v>
      </c>
      <c r="C94" s="247">
        <v>600099181</v>
      </c>
      <c r="D94" s="206">
        <v>854751</v>
      </c>
      <c r="E94" s="248" t="s">
        <v>378</v>
      </c>
      <c r="F94" s="206">
        <v>3113</v>
      </c>
      <c r="G94" s="248" t="s">
        <v>294</v>
      </c>
      <c r="H94" s="209" t="s">
        <v>262</v>
      </c>
      <c r="I94" s="610">
        <v>39382071</v>
      </c>
      <c r="J94" s="554">
        <v>28963865</v>
      </c>
      <c r="K94" s="554">
        <v>253200</v>
      </c>
      <c r="L94" s="431">
        <v>9875367</v>
      </c>
      <c r="M94" s="431">
        <v>289639</v>
      </c>
      <c r="N94" s="325">
        <v>0</v>
      </c>
      <c r="O94" s="718">
        <v>39.22</v>
      </c>
      <c r="P94" s="327">
        <f>W94*-1</f>
        <v>-168800</v>
      </c>
      <c r="Q94" s="492">
        <v>0</v>
      </c>
      <c r="R94" s="325">
        <v>0</v>
      </c>
      <c r="S94" s="325">
        <v>0</v>
      </c>
      <c r="T94" s="325">
        <v>0</v>
      </c>
      <c r="U94" s="325">
        <v>0</v>
      </c>
      <c r="V94" s="492">
        <f>P94+Q94+R94+S94+T94+U94</f>
        <v>-168800</v>
      </c>
      <c r="W94" s="325">
        <v>168800</v>
      </c>
      <c r="X94" s="325">
        <v>0</v>
      </c>
      <c r="Y94" s="325">
        <v>0</v>
      </c>
      <c r="Z94" s="492">
        <f>W94+X94+Y94</f>
        <v>168800</v>
      </c>
      <c r="AA94" s="492">
        <f>V94+Z94</f>
        <v>0</v>
      </c>
      <c r="AB94" s="494">
        <f>ROUND((V94+Z94)*33.8%,0)</f>
        <v>0</v>
      </c>
      <c r="AC94" s="494">
        <f>ROUND(V94*1%,0)</f>
        <v>-1688</v>
      </c>
      <c r="AD94" s="492">
        <v>0</v>
      </c>
      <c r="AE94" s="753">
        <f t="shared" ref="AE94:AE97" si="63">AA94+AB94+AC94+AD94</f>
        <v>-1688</v>
      </c>
      <c r="AF94" s="688">
        <v>-0.21000000000000002</v>
      </c>
      <c r="AG94" s="491">
        <v>0</v>
      </c>
      <c r="AH94" s="326">
        <v>0</v>
      </c>
      <c r="AI94" s="326">
        <v>0</v>
      </c>
      <c r="AJ94" s="326">
        <v>0</v>
      </c>
      <c r="AK94" s="326">
        <v>0</v>
      </c>
      <c r="AL94" s="609">
        <f>SUM(AF94:AK94)</f>
        <v>-0.21000000000000002</v>
      </c>
      <c r="AM94" s="676">
        <f>I94+AE94</f>
        <v>39380383</v>
      </c>
      <c r="AN94" s="492">
        <f>J94+V94</f>
        <v>28795065</v>
      </c>
      <c r="AO94" s="573">
        <f>K94+Z94</f>
        <v>422000</v>
      </c>
      <c r="AP94" s="492">
        <f t="shared" ref="AP94:AR97" si="64">L94+AB94</f>
        <v>9875367</v>
      </c>
      <c r="AQ94" s="492">
        <f t="shared" si="64"/>
        <v>287951</v>
      </c>
      <c r="AR94" s="492">
        <f t="shared" si="64"/>
        <v>0</v>
      </c>
      <c r="AS94" s="609">
        <f>O94+AL94</f>
        <v>39.01</v>
      </c>
    </row>
    <row r="95" spans="1:45" ht="12.95" customHeight="1" x14ac:dyDescent="0.25">
      <c r="A95" s="205">
        <v>22</v>
      </c>
      <c r="B95" s="246">
        <v>5422</v>
      </c>
      <c r="C95" s="247">
        <v>600099181</v>
      </c>
      <c r="D95" s="206">
        <v>854751</v>
      </c>
      <c r="E95" s="248" t="s">
        <v>378</v>
      </c>
      <c r="F95" s="206">
        <v>3113</v>
      </c>
      <c r="G95" s="248" t="s">
        <v>799</v>
      </c>
      <c r="H95" s="209" t="s">
        <v>262</v>
      </c>
      <c r="I95" s="610">
        <v>445519</v>
      </c>
      <c r="J95" s="554">
        <v>330504</v>
      </c>
      <c r="K95" s="554">
        <v>0</v>
      </c>
      <c r="L95" s="431">
        <v>111710</v>
      </c>
      <c r="M95" s="431">
        <v>3305</v>
      </c>
      <c r="N95" s="325">
        <v>0</v>
      </c>
      <c r="O95" s="718">
        <v>0.6</v>
      </c>
      <c r="P95" s="327">
        <f>W95*-1</f>
        <v>0</v>
      </c>
      <c r="Q95" s="492">
        <v>0</v>
      </c>
      <c r="R95" s="325">
        <v>0</v>
      </c>
      <c r="S95" s="325">
        <v>0</v>
      </c>
      <c r="T95" s="325">
        <v>0</v>
      </c>
      <c r="U95" s="325">
        <v>0</v>
      </c>
      <c r="V95" s="492">
        <f>P95+Q95+R95+S95+T95+U95</f>
        <v>0</v>
      </c>
      <c r="W95" s="325">
        <v>0</v>
      </c>
      <c r="X95" s="325">
        <v>0</v>
      </c>
      <c r="Y95" s="325">
        <v>0</v>
      </c>
      <c r="Z95" s="492">
        <f>W95+X95+Y95</f>
        <v>0</v>
      </c>
      <c r="AA95" s="492">
        <f>V95+Z95</f>
        <v>0</v>
      </c>
      <c r="AB95" s="494">
        <f>ROUND((V95+Z95)*33.8%,0)</f>
        <v>0</v>
      </c>
      <c r="AC95" s="494">
        <f>ROUND(V95*1%,0)</f>
        <v>0</v>
      </c>
      <c r="AD95" s="492">
        <v>0</v>
      </c>
      <c r="AE95" s="753">
        <f>AA95+AB95+AC95+AD95</f>
        <v>0</v>
      </c>
      <c r="AF95" s="688">
        <v>0</v>
      </c>
      <c r="AG95" s="491">
        <v>0</v>
      </c>
      <c r="AH95" s="326">
        <v>0</v>
      </c>
      <c r="AI95" s="326">
        <v>0</v>
      </c>
      <c r="AJ95" s="326">
        <v>0</v>
      </c>
      <c r="AK95" s="326">
        <v>0</v>
      </c>
      <c r="AL95" s="609">
        <f>SUM(AF95:AK95)</f>
        <v>0</v>
      </c>
      <c r="AM95" s="676">
        <f>I95+AE95</f>
        <v>445519</v>
      </c>
      <c r="AN95" s="492">
        <f>J95+V95</f>
        <v>330504</v>
      </c>
      <c r="AO95" s="573">
        <f>K95+Z95</f>
        <v>0</v>
      </c>
      <c r="AP95" s="492">
        <f t="shared" si="64"/>
        <v>111710</v>
      </c>
      <c r="AQ95" s="492">
        <f t="shared" si="64"/>
        <v>3305</v>
      </c>
      <c r="AR95" s="492">
        <f t="shared" si="64"/>
        <v>0</v>
      </c>
      <c r="AS95" s="609">
        <f>O95+AL95</f>
        <v>0.6</v>
      </c>
    </row>
    <row r="96" spans="1:45" ht="12.95" customHeight="1" x14ac:dyDescent="0.25">
      <c r="A96" s="205">
        <v>22</v>
      </c>
      <c r="B96" s="246">
        <v>5422</v>
      </c>
      <c r="C96" s="247">
        <v>600099181</v>
      </c>
      <c r="D96" s="206">
        <v>854751</v>
      </c>
      <c r="E96" s="248" t="s">
        <v>378</v>
      </c>
      <c r="F96" s="206">
        <v>3113</v>
      </c>
      <c r="G96" s="248" t="s">
        <v>284</v>
      </c>
      <c r="H96" s="209" t="s">
        <v>263</v>
      </c>
      <c r="I96" s="580">
        <v>5210288</v>
      </c>
      <c r="J96" s="490">
        <v>3865199</v>
      </c>
      <c r="K96" s="554">
        <v>0</v>
      </c>
      <c r="L96" s="431">
        <v>1306437</v>
      </c>
      <c r="M96" s="431">
        <v>38652</v>
      </c>
      <c r="N96" s="325">
        <v>0</v>
      </c>
      <c r="O96" s="719">
        <v>9.59</v>
      </c>
      <c r="P96" s="327">
        <f>W96*-1</f>
        <v>0</v>
      </c>
      <c r="Q96" s="492">
        <v>0</v>
      </c>
      <c r="R96" s="325">
        <v>0</v>
      </c>
      <c r="S96" s="325">
        <v>0</v>
      </c>
      <c r="T96" s="325">
        <v>0</v>
      </c>
      <c r="U96" s="325">
        <v>0</v>
      </c>
      <c r="V96" s="492">
        <f>P96+Q96+R96+S96+T96+U96</f>
        <v>0</v>
      </c>
      <c r="W96" s="325">
        <v>0</v>
      </c>
      <c r="X96" s="325">
        <v>0</v>
      </c>
      <c r="Y96" s="325">
        <v>0</v>
      </c>
      <c r="Z96" s="492">
        <f>W96+X96+Y96</f>
        <v>0</v>
      </c>
      <c r="AA96" s="492">
        <f>V96+Z96</f>
        <v>0</v>
      </c>
      <c r="AB96" s="494">
        <f>ROUND((V96+Z96)*33.8%,0)</f>
        <v>0</v>
      </c>
      <c r="AC96" s="494">
        <f>ROUND(V96*1%,0)</f>
        <v>0</v>
      </c>
      <c r="AD96" s="492">
        <v>0</v>
      </c>
      <c r="AE96" s="753">
        <f t="shared" si="63"/>
        <v>0</v>
      </c>
      <c r="AF96" s="688">
        <v>0</v>
      </c>
      <c r="AG96" s="491">
        <v>0</v>
      </c>
      <c r="AH96" s="326">
        <v>0</v>
      </c>
      <c r="AI96" s="326">
        <v>0</v>
      </c>
      <c r="AJ96" s="326">
        <v>0</v>
      </c>
      <c r="AK96" s="326">
        <v>0</v>
      </c>
      <c r="AL96" s="609">
        <f>SUM(AF96:AK96)</f>
        <v>0</v>
      </c>
      <c r="AM96" s="676">
        <f>I96+AE96</f>
        <v>5210288</v>
      </c>
      <c r="AN96" s="492">
        <f>J96+V96</f>
        <v>3865199</v>
      </c>
      <c r="AO96" s="573">
        <f>K96+Z96</f>
        <v>0</v>
      </c>
      <c r="AP96" s="492">
        <f t="shared" si="64"/>
        <v>1306437</v>
      </c>
      <c r="AQ96" s="492">
        <f t="shared" si="64"/>
        <v>38652</v>
      </c>
      <c r="AR96" s="492">
        <f t="shared" si="64"/>
        <v>0</v>
      </c>
      <c r="AS96" s="609">
        <f>O96+AL96</f>
        <v>9.59</v>
      </c>
    </row>
    <row r="97" spans="1:45" ht="12.95" customHeight="1" x14ac:dyDescent="0.25">
      <c r="A97" s="205">
        <v>22</v>
      </c>
      <c r="B97" s="246">
        <v>5422</v>
      </c>
      <c r="C97" s="247">
        <v>600099181</v>
      </c>
      <c r="D97" s="206">
        <v>854751</v>
      </c>
      <c r="E97" s="248" t="s">
        <v>378</v>
      </c>
      <c r="F97" s="206">
        <v>3143</v>
      </c>
      <c r="G97" s="248" t="s">
        <v>795</v>
      </c>
      <c r="H97" s="209" t="s">
        <v>262</v>
      </c>
      <c r="I97" s="580">
        <v>2848511</v>
      </c>
      <c r="J97" s="490">
        <v>2113139</v>
      </c>
      <c r="K97" s="554">
        <v>0</v>
      </c>
      <c r="L97" s="431">
        <v>714241</v>
      </c>
      <c r="M97" s="431">
        <v>21131</v>
      </c>
      <c r="N97" s="325">
        <v>0</v>
      </c>
      <c r="O97" s="719">
        <v>3.9464000000000001</v>
      </c>
      <c r="P97" s="327">
        <f>W97*-1</f>
        <v>0</v>
      </c>
      <c r="Q97" s="492">
        <v>0</v>
      </c>
      <c r="R97" s="325">
        <v>0</v>
      </c>
      <c r="S97" s="325">
        <v>0</v>
      </c>
      <c r="T97" s="325">
        <v>0</v>
      </c>
      <c r="U97" s="325">
        <v>0</v>
      </c>
      <c r="V97" s="492">
        <f>P97+Q97+R97+S97+T97+U97</f>
        <v>0</v>
      </c>
      <c r="W97" s="325">
        <v>0</v>
      </c>
      <c r="X97" s="325">
        <v>0</v>
      </c>
      <c r="Y97" s="325">
        <v>0</v>
      </c>
      <c r="Z97" s="492">
        <f>W97+X97+Y97</f>
        <v>0</v>
      </c>
      <c r="AA97" s="492">
        <f>V97+Z97</f>
        <v>0</v>
      </c>
      <c r="AB97" s="494">
        <f>ROUND((V97+Z97)*33.8%,0)</f>
        <v>0</v>
      </c>
      <c r="AC97" s="494">
        <f>ROUND(V97*1%,0)</f>
        <v>0</v>
      </c>
      <c r="AD97" s="492">
        <v>0</v>
      </c>
      <c r="AE97" s="753">
        <f t="shared" si="63"/>
        <v>0</v>
      </c>
      <c r="AF97" s="688">
        <v>0</v>
      </c>
      <c r="AG97" s="491">
        <v>0</v>
      </c>
      <c r="AH97" s="326">
        <v>0</v>
      </c>
      <c r="AI97" s="326">
        <v>0</v>
      </c>
      <c r="AJ97" s="326">
        <v>0</v>
      </c>
      <c r="AK97" s="326">
        <v>0</v>
      </c>
      <c r="AL97" s="609">
        <f>SUM(AF97:AK97)</f>
        <v>0</v>
      </c>
      <c r="AM97" s="676">
        <f>I97+AE97</f>
        <v>2848511</v>
      </c>
      <c r="AN97" s="492">
        <f>J97+V97</f>
        <v>2113139</v>
      </c>
      <c r="AO97" s="573">
        <f>K97+Z97</f>
        <v>0</v>
      </c>
      <c r="AP97" s="492">
        <f t="shared" si="64"/>
        <v>714241</v>
      </c>
      <c r="AQ97" s="492">
        <f t="shared" si="64"/>
        <v>21131</v>
      </c>
      <c r="AR97" s="492">
        <f t="shared" si="64"/>
        <v>0</v>
      </c>
      <c r="AS97" s="609">
        <f>O97+AL97</f>
        <v>3.9464000000000001</v>
      </c>
    </row>
    <row r="98" spans="1:45" ht="12.95" customHeight="1" x14ac:dyDescent="0.25">
      <c r="A98" s="249">
        <v>22</v>
      </c>
      <c r="B98" s="250">
        <v>5422</v>
      </c>
      <c r="C98" s="251">
        <v>600099181</v>
      </c>
      <c r="D98" s="250">
        <v>854751</v>
      </c>
      <c r="E98" s="252" t="s">
        <v>379</v>
      </c>
      <c r="F98" s="216"/>
      <c r="G98" s="254"/>
      <c r="H98" s="217"/>
      <c r="I98" s="668">
        <v>47886389</v>
      </c>
      <c r="J98" s="355">
        <v>35272707</v>
      </c>
      <c r="K98" s="355">
        <v>253200</v>
      </c>
      <c r="L98" s="355">
        <v>12007755</v>
      </c>
      <c r="M98" s="355">
        <v>352727</v>
      </c>
      <c r="N98" s="355">
        <v>0</v>
      </c>
      <c r="O98" s="780">
        <v>53.356399999999994</v>
      </c>
      <c r="P98" s="668">
        <f t="shared" ref="P98:AS98" si="65">SUM(P94:P97)</f>
        <v>-168800</v>
      </c>
      <c r="Q98" s="355">
        <f t="shared" si="65"/>
        <v>0</v>
      </c>
      <c r="R98" s="355">
        <f t="shared" si="65"/>
        <v>0</v>
      </c>
      <c r="S98" s="355">
        <f t="shared" si="65"/>
        <v>0</v>
      </c>
      <c r="T98" s="355">
        <f t="shared" si="65"/>
        <v>0</v>
      </c>
      <c r="U98" s="355">
        <f t="shared" si="65"/>
        <v>0</v>
      </c>
      <c r="V98" s="355">
        <f t="shared" si="65"/>
        <v>-168800</v>
      </c>
      <c r="W98" s="355">
        <f t="shared" si="65"/>
        <v>168800</v>
      </c>
      <c r="X98" s="355">
        <f t="shared" si="65"/>
        <v>0</v>
      </c>
      <c r="Y98" s="355">
        <f t="shared" si="65"/>
        <v>0</v>
      </c>
      <c r="Z98" s="355">
        <f t="shared" si="65"/>
        <v>168800</v>
      </c>
      <c r="AA98" s="355">
        <f t="shared" si="65"/>
        <v>0</v>
      </c>
      <c r="AB98" s="355">
        <f t="shared" si="65"/>
        <v>0</v>
      </c>
      <c r="AC98" s="355">
        <f t="shared" si="65"/>
        <v>-1688</v>
      </c>
      <c r="AD98" s="355">
        <f t="shared" si="65"/>
        <v>0</v>
      </c>
      <c r="AE98" s="665">
        <f t="shared" si="65"/>
        <v>-1688</v>
      </c>
      <c r="AF98" s="793">
        <f t="shared" si="65"/>
        <v>-0.21000000000000002</v>
      </c>
      <c r="AG98" s="356">
        <f t="shared" si="65"/>
        <v>0</v>
      </c>
      <c r="AH98" s="356">
        <f t="shared" si="65"/>
        <v>0</v>
      </c>
      <c r="AI98" s="356">
        <f t="shared" si="65"/>
        <v>0</v>
      </c>
      <c r="AJ98" s="356">
        <f t="shared" si="65"/>
        <v>0</v>
      </c>
      <c r="AK98" s="356">
        <f t="shared" si="65"/>
        <v>0</v>
      </c>
      <c r="AL98" s="253">
        <f t="shared" si="65"/>
        <v>-0.21000000000000002</v>
      </c>
      <c r="AM98" s="668">
        <f t="shared" si="65"/>
        <v>47884701</v>
      </c>
      <c r="AN98" s="355">
        <f t="shared" si="65"/>
        <v>35103907</v>
      </c>
      <c r="AO98" s="355">
        <f t="shared" si="65"/>
        <v>422000</v>
      </c>
      <c r="AP98" s="355">
        <f t="shared" si="65"/>
        <v>12007755</v>
      </c>
      <c r="AQ98" s="355">
        <f t="shared" si="65"/>
        <v>351039</v>
      </c>
      <c r="AR98" s="355">
        <f t="shared" si="65"/>
        <v>0</v>
      </c>
      <c r="AS98" s="253">
        <f t="shared" si="65"/>
        <v>53.1464</v>
      </c>
    </row>
    <row r="99" spans="1:45" ht="12.95" customHeight="1" x14ac:dyDescent="0.25">
      <c r="A99" s="205">
        <v>23</v>
      </c>
      <c r="B99" s="246">
        <v>5424</v>
      </c>
      <c r="C99" s="247">
        <v>600099431</v>
      </c>
      <c r="D99" s="206">
        <v>72742372</v>
      </c>
      <c r="E99" s="248" t="s">
        <v>380</v>
      </c>
      <c r="F99" s="206">
        <v>3114</v>
      </c>
      <c r="G99" s="256" t="s">
        <v>511</v>
      </c>
      <c r="H99" s="209" t="s">
        <v>262</v>
      </c>
      <c r="I99" s="610">
        <v>5828646</v>
      </c>
      <c r="J99" s="554">
        <v>4323922</v>
      </c>
      <c r="K99" s="554">
        <v>0</v>
      </c>
      <c r="L99" s="431">
        <v>1461485</v>
      </c>
      <c r="M99" s="431">
        <v>43239</v>
      </c>
      <c r="N99" s="325">
        <v>0</v>
      </c>
      <c r="O99" s="718">
        <v>5.2725999999999997</v>
      </c>
      <c r="P99" s="327">
        <f>W99*-1</f>
        <v>0</v>
      </c>
      <c r="Q99" s="492">
        <v>0</v>
      </c>
      <c r="R99" s="325">
        <v>0</v>
      </c>
      <c r="S99" s="325">
        <v>0</v>
      </c>
      <c r="T99" s="325">
        <v>0</v>
      </c>
      <c r="U99" s="325">
        <v>0</v>
      </c>
      <c r="V99" s="492">
        <f>P99+Q99+R99+S99+T99+U99</f>
        <v>0</v>
      </c>
      <c r="W99" s="325">
        <v>0</v>
      </c>
      <c r="X99" s="325">
        <v>0</v>
      </c>
      <c r="Y99" s="325">
        <v>0</v>
      </c>
      <c r="Z99" s="492">
        <f>W99+X99+Y99</f>
        <v>0</v>
      </c>
      <c r="AA99" s="492">
        <f>V99+Z99</f>
        <v>0</v>
      </c>
      <c r="AB99" s="494">
        <f>ROUND((V99+Z99)*33.8%,0)</f>
        <v>0</v>
      </c>
      <c r="AC99" s="494">
        <f>ROUND(V99*1%,0)</f>
        <v>0</v>
      </c>
      <c r="AD99" s="492">
        <v>0</v>
      </c>
      <c r="AE99" s="753">
        <f t="shared" ref="AE99:AE100" si="66">AA99+AB99+AC99+AD99</f>
        <v>0</v>
      </c>
      <c r="AF99" s="688">
        <v>0</v>
      </c>
      <c r="AG99" s="491">
        <v>0</v>
      </c>
      <c r="AH99" s="326">
        <v>0</v>
      </c>
      <c r="AI99" s="326">
        <v>0</v>
      </c>
      <c r="AJ99" s="326">
        <v>0</v>
      </c>
      <c r="AK99" s="326">
        <v>0</v>
      </c>
      <c r="AL99" s="609">
        <f>SUM(AF99:AK99)</f>
        <v>0</v>
      </c>
      <c r="AM99" s="676">
        <f>I99+AE99</f>
        <v>5828646</v>
      </c>
      <c r="AN99" s="492">
        <f>J99+V99</f>
        <v>4323922</v>
      </c>
      <c r="AO99" s="573">
        <f>K99+Z99</f>
        <v>0</v>
      </c>
      <c r="AP99" s="492">
        <f t="shared" ref="AP99:AR100" si="67">L99+AB99</f>
        <v>1461485</v>
      </c>
      <c r="AQ99" s="492">
        <f t="shared" si="67"/>
        <v>43239</v>
      </c>
      <c r="AR99" s="492">
        <f t="shared" si="67"/>
        <v>0</v>
      </c>
      <c r="AS99" s="609">
        <f>O99+AL99</f>
        <v>5.2725999999999997</v>
      </c>
    </row>
    <row r="100" spans="1:45" ht="12.95" customHeight="1" x14ac:dyDescent="0.25">
      <c r="A100" s="205">
        <v>23</v>
      </c>
      <c r="B100" s="246">
        <v>5424</v>
      </c>
      <c r="C100" s="247">
        <v>600099431</v>
      </c>
      <c r="D100" s="206">
        <v>72742372</v>
      </c>
      <c r="E100" s="248" t="s">
        <v>380</v>
      </c>
      <c r="F100" s="206">
        <v>3114</v>
      </c>
      <c r="G100" s="256" t="s">
        <v>279</v>
      </c>
      <c r="H100" s="209" t="s">
        <v>262</v>
      </c>
      <c r="I100" s="580">
        <v>603899</v>
      </c>
      <c r="J100" s="490">
        <v>447996</v>
      </c>
      <c r="K100" s="554">
        <v>0</v>
      </c>
      <c r="L100" s="431">
        <v>151423</v>
      </c>
      <c r="M100" s="431">
        <v>4480</v>
      </c>
      <c r="N100" s="325">
        <v>0</v>
      </c>
      <c r="O100" s="719">
        <v>1</v>
      </c>
      <c r="P100" s="327">
        <f>W100*-1</f>
        <v>0</v>
      </c>
      <c r="Q100" s="492">
        <v>0</v>
      </c>
      <c r="R100" s="325">
        <v>0</v>
      </c>
      <c r="S100" s="325">
        <v>0</v>
      </c>
      <c r="T100" s="325">
        <v>0</v>
      </c>
      <c r="U100" s="325">
        <v>0</v>
      </c>
      <c r="V100" s="492">
        <f>P100+Q100+R100+S100+T100+U100</f>
        <v>0</v>
      </c>
      <c r="W100" s="325">
        <v>0</v>
      </c>
      <c r="X100" s="325">
        <v>0</v>
      </c>
      <c r="Y100" s="325">
        <v>0</v>
      </c>
      <c r="Z100" s="492">
        <f>W100+X100+Y100</f>
        <v>0</v>
      </c>
      <c r="AA100" s="492">
        <f>V100+Z100</f>
        <v>0</v>
      </c>
      <c r="AB100" s="494">
        <f>ROUND((V100+Z100)*33.8%,0)</f>
        <v>0</v>
      </c>
      <c r="AC100" s="494">
        <f>ROUND(V100*1%,0)</f>
        <v>0</v>
      </c>
      <c r="AD100" s="492">
        <v>0</v>
      </c>
      <c r="AE100" s="753">
        <f t="shared" si="66"/>
        <v>0</v>
      </c>
      <c r="AF100" s="688">
        <v>0</v>
      </c>
      <c r="AG100" s="491">
        <v>0</v>
      </c>
      <c r="AH100" s="326">
        <v>0</v>
      </c>
      <c r="AI100" s="326">
        <v>0</v>
      </c>
      <c r="AJ100" s="326">
        <v>0</v>
      </c>
      <c r="AK100" s="326">
        <v>0</v>
      </c>
      <c r="AL100" s="609">
        <f>SUM(AF100:AK100)</f>
        <v>0</v>
      </c>
      <c r="AM100" s="676">
        <f>I100+AE100</f>
        <v>603899</v>
      </c>
      <c r="AN100" s="492">
        <f>J100+V100</f>
        <v>447996</v>
      </c>
      <c r="AO100" s="573">
        <f>K100+Z100</f>
        <v>0</v>
      </c>
      <c r="AP100" s="492">
        <f t="shared" si="67"/>
        <v>151423</v>
      </c>
      <c r="AQ100" s="492">
        <f t="shared" si="67"/>
        <v>4480</v>
      </c>
      <c r="AR100" s="492">
        <f t="shared" si="67"/>
        <v>0</v>
      </c>
      <c r="AS100" s="609">
        <f>O100+AL100</f>
        <v>1</v>
      </c>
    </row>
    <row r="101" spans="1:45" ht="12.95" customHeight="1" x14ac:dyDescent="0.25">
      <c r="A101" s="249">
        <v>23</v>
      </c>
      <c r="B101" s="250">
        <v>5424</v>
      </c>
      <c r="C101" s="251">
        <v>600099431</v>
      </c>
      <c r="D101" s="250">
        <v>72742372</v>
      </c>
      <c r="E101" s="252" t="s">
        <v>381</v>
      </c>
      <c r="F101" s="216"/>
      <c r="G101" s="254"/>
      <c r="H101" s="217"/>
      <c r="I101" s="668">
        <v>6432545</v>
      </c>
      <c r="J101" s="355">
        <v>4771918</v>
      </c>
      <c r="K101" s="355">
        <v>0</v>
      </c>
      <c r="L101" s="355">
        <v>1612908</v>
      </c>
      <c r="M101" s="355">
        <v>47719</v>
      </c>
      <c r="N101" s="355">
        <v>0</v>
      </c>
      <c r="O101" s="780">
        <v>6.2725999999999997</v>
      </c>
      <c r="P101" s="668">
        <f t="shared" ref="P101:AS101" si="68">SUM(P99:P100)</f>
        <v>0</v>
      </c>
      <c r="Q101" s="355">
        <f t="shared" si="68"/>
        <v>0</v>
      </c>
      <c r="R101" s="355">
        <f t="shared" si="68"/>
        <v>0</v>
      </c>
      <c r="S101" s="355">
        <f t="shared" si="68"/>
        <v>0</v>
      </c>
      <c r="T101" s="355">
        <f t="shared" si="68"/>
        <v>0</v>
      </c>
      <c r="U101" s="355">
        <f t="shared" si="68"/>
        <v>0</v>
      </c>
      <c r="V101" s="355">
        <f t="shared" si="68"/>
        <v>0</v>
      </c>
      <c r="W101" s="355">
        <f t="shared" si="68"/>
        <v>0</v>
      </c>
      <c r="X101" s="355">
        <f t="shared" si="68"/>
        <v>0</v>
      </c>
      <c r="Y101" s="355">
        <f t="shared" si="68"/>
        <v>0</v>
      </c>
      <c r="Z101" s="355">
        <f t="shared" si="68"/>
        <v>0</v>
      </c>
      <c r="AA101" s="355">
        <f t="shared" si="68"/>
        <v>0</v>
      </c>
      <c r="AB101" s="355">
        <f t="shared" si="68"/>
        <v>0</v>
      </c>
      <c r="AC101" s="355">
        <f t="shared" si="68"/>
        <v>0</v>
      </c>
      <c r="AD101" s="355">
        <f t="shared" si="68"/>
        <v>0</v>
      </c>
      <c r="AE101" s="665">
        <f t="shared" si="68"/>
        <v>0</v>
      </c>
      <c r="AF101" s="793">
        <v>0</v>
      </c>
      <c r="AG101" s="356">
        <f t="shared" si="68"/>
        <v>0</v>
      </c>
      <c r="AH101" s="356">
        <f t="shared" si="68"/>
        <v>0</v>
      </c>
      <c r="AI101" s="356">
        <f t="shared" si="68"/>
        <v>0</v>
      </c>
      <c r="AJ101" s="356">
        <f t="shared" si="68"/>
        <v>0</v>
      </c>
      <c r="AK101" s="356">
        <f t="shared" si="68"/>
        <v>0</v>
      </c>
      <c r="AL101" s="253">
        <f t="shared" si="68"/>
        <v>0</v>
      </c>
      <c r="AM101" s="668">
        <f t="shared" si="68"/>
        <v>6432545</v>
      </c>
      <c r="AN101" s="355">
        <f t="shared" si="68"/>
        <v>4771918</v>
      </c>
      <c r="AO101" s="355">
        <f t="shared" si="68"/>
        <v>0</v>
      </c>
      <c r="AP101" s="355">
        <f t="shared" si="68"/>
        <v>1612908</v>
      </c>
      <c r="AQ101" s="355">
        <f t="shared" si="68"/>
        <v>47719</v>
      </c>
      <c r="AR101" s="355">
        <f t="shared" si="68"/>
        <v>0</v>
      </c>
      <c r="AS101" s="253">
        <f t="shared" si="68"/>
        <v>6.2725999999999997</v>
      </c>
    </row>
    <row r="102" spans="1:45" ht="12.95" customHeight="1" x14ac:dyDescent="0.25">
      <c r="A102" s="205">
        <v>24</v>
      </c>
      <c r="B102" s="246">
        <v>5427</v>
      </c>
      <c r="C102" s="247">
        <v>600099407</v>
      </c>
      <c r="D102" s="206">
        <v>72742534</v>
      </c>
      <c r="E102" s="248" t="s">
        <v>382</v>
      </c>
      <c r="F102" s="206">
        <v>3231</v>
      </c>
      <c r="G102" s="248" t="s">
        <v>383</v>
      </c>
      <c r="H102" s="209" t="s">
        <v>262</v>
      </c>
      <c r="I102" s="610">
        <v>13355368</v>
      </c>
      <c r="J102" s="554">
        <v>9907543</v>
      </c>
      <c r="K102" s="554">
        <v>0</v>
      </c>
      <c r="L102" s="431">
        <v>3348750</v>
      </c>
      <c r="M102" s="431">
        <v>99075</v>
      </c>
      <c r="N102" s="325">
        <v>0</v>
      </c>
      <c r="O102" s="718">
        <v>14.882099999999999</v>
      </c>
      <c r="P102" s="327">
        <f>W102*-1</f>
        <v>0</v>
      </c>
      <c r="Q102" s="492">
        <v>0</v>
      </c>
      <c r="R102" s="325">
        <v>0</v>
      </c>
      <c r="S102" s="325">
        <v>0</v>
      </c>
      <c r="T102" s="325">
        <v>0</v>
      </c>
      <c r="U102" s="325">
        <v>0</v>
      </c>
      <c r="V102" s="492">
        <f>P102+Q102+R102+S102+T102+U102</f>
        <v>0</v>
      </c>
      <c r="W102" s="325">
        <v>0</v>
      </c>
      <c r="X102" s="325">
        <v>0</v>
      </c>
      <c r="Y102" s="325">
        <v>0</v>
      </c>
      <c r="Z102" s="492">
        <f>W102+X102+Y102</f>
        <v>0</v>
      </c>
      <c r="AA102" s="492">
        <f>V102+Z102</f>
        <v>0</v>
      </c>
      <c r="AB102" s="494">
        <f>ROUND((V102+Z102)*33.8%,0)</f>
        <v>0</v>
      </c>
      <c r="AC102" s="494">
        <f>ROUND(V102*1%,0)</f>
        <v>0</v>
      </c>
      <c r="AD102" s="492">
        <v>0</v>
      </c>
      <c r="AE102" s="753">
        <f t="shared" ref="AE102:AE103" si="69">AA102+AB102+AC102+AD102</f>
        <v>0</v>
      </c>
      <c r="AF102" s="688">
        <v>0</v>
      </c>
      <c r="AG102" s="491">
        <v>0</v>
      </c>
      <c r="AH102" s="326">
        <v>0</v>
      </c>
      <c r="AI102" s="326">
        <v>0</v>
      </c>
      <c r="AJ102" s="326">
        <v>0</v>
      </c>
      <c r="AK102" s="326">
        <v>0</v>
      </c>
      <c r="AL102" s="609">
        <f>SUM(AF102:AK102)</f>
        <v>0</v>
      </c>
      <c r="AM102" s="676">
        <f>I102+AE102</f>
        <v>13355368</v>
      </c>
      <c r="AN102" s="492">
        <f>J102+V102</f>
        <v>9907543</v>
      </c>
      <c r="AO102" s="573">
        <f>K102+Z102</f>
        <v>0</v>
      </c>
      <c r="AP102" s="492">
        <f t="shared" ref="AP102:AR103" si="70">L102+AB102</f>
        <v>3348750</v>
      </c>
      <c r="AQ102" s="492">
        <f t="shared" si="70"/>
        <v>99075</v>
      </c>
      <c r="AR102" s="492">
        <f t="shared" si="70"/>
        <v>0</v>
      </c>
      <c r="AS102" s="609">
        <f>O102+AL102</f>
        <v>14.882099999999999</v>
      </c>
    </row>
    <row r="103" spans="1:45" ht="12.95" customHeight="1" x14ac:dyDescent="0.25">
      <c r="A103" s="205">
        <v>24</v>
      </c>
      <c r="B103" s="246">
        <v>5427</v>
      </c>
      <c r="C103" s="247">
        <v>600099407</v>
      </c>
      <c r="D103" s="206">
        <v>72742534</v>
      </c>
      <c r="E103" s="248" t="s">
        <v>382</v>
      </c>
      <c r="F103" s="206">
        <v>3231</v>
      </c>
      <c r="G103" s="248" t="s">
        <v>284</v>
      </c>
      <c r="H103" s="209" t="s">
        <v>263</v>
      </c>
      <c r="I103" s="580">
        <v>0</v>
      </c>
      <c r="J103" s="490">
        <v>0</v>
      </c>
      <c r="K103" s="554">
        <v>0</v>
      </c>
      <c r="L103" s="431">
        <v>0</v>
      </c>
      <c r="M103" s="431">
        <v>0</v>
      </c>
      <c r="N103" s="325">
        <v>0</v>
      </c>
      <c r="O103" s="719">
        <v>0</v>
      </c>
      <c r="P103" s="327">
        <f>W103*-1</f>
        <v>0</v>
      </c>
      <c r="Q103" s="492">
        <v>0</v>
      </c>
      <c r="R103" s="325">
        <v>0</v>
      </c>
      <c r="S103" s="325">
        <v>0</v>
      </c>
      <c r="T103" s="325">
        <v>0</v>
      </c>
      <c r="U103" s="325">
        <v>0</v>
      </c>
      <c r="V103" s="492">
        <f>P103+Q103+R103+S103+T103+U103</f>
        <v>0</v>
      </c>
      <c r="W103" s="325">
        <v>0</v>
      </c>
      <c r="X103" s="325">
        <v>0</v>
      </c>
      <c r="Y103" s="325">
        <v>0</v>
      </c>
      <c r="Z103" s="492">
        <f>W103+X103+Y103</f>
        <v>0</v>
      </c>
      <c r="AA103" s="492">
        <f>V103+Z103</f>
        <v>0</v>
      </c>
      <c r="AB103" s="494">
        <f>ROUND((V103+Z103)*33.8%,0)</f>
        <v>0</v>
      </c>
      <c r="AC103" s="494">
        <f>ROUND(V103*1%,0)</f>
        <v>0</v>
      </c>
      <c r="AD103" s="492">
        <v>0</v>
      </c>
      <c r="AE103" s="753">
        <f t="shared" si="69"/>
        <v>0</v>
      </c>
      <c r="AF103" s="688">
        <v>0</v>
      </c>
      <c r="AG103" s="491">
        <v>0</v>
      </c>
      <c r="AH103" s="326">
        <v>0</v>
      </c>
      <c r="AI103" s="326">
        <v>0</v>
      </c>
      <c r="AJ103" s="326">
        <v>0</v>
      </c>
      <c r="AK103" s="326">
        <v>0</v>
      </c>
      <c r="AL103" s="609">
        <f>SUM(AF103:AK103)</f>
        <v>0</v>
      </c>
      <c r="AM103" s="676">
        <f>I103+AE103</f>
        <v>0</v>
      </c>
      <c r="AN103" s="492">
        <f>J103+V103</f>
        <v>0</v>
      </c>
      <c r="AO103" s="573">
        <f>K103+Z103</f>
        <v>0</v>
      </c>
      <c r="AP103" s="492">
        <f t="shared" si="70"/>
        <v>0</v>
      </c>
      <c r="AQ103" s="492">
        <f t="shared" si="70"/>
        <v>0</v>
      </c>
      <c r="AR103" s="492">
        <f t="shared" si="70"/>
        <v>0</v>
      </c>
      <c r="AS103" s="609">
        <f>O103+AL103</f>
        <v>0</v>
      </c>
    </row>
    <row r="104" spans="1:45" ht="12.95" customHeight="1" x14ac:dyDescent="0.25">
      <c r="A104" s="249">
        <v>24</v>
      </c>
      <c r="B104" s="250">
        <v>5427</v>
      </c>
      <c r="C104" s="251">
        <v>600099407</v>
      </c>
      <c r="D104" s="250">
        <v>72742534</v>
      </c>
      <c r="E104" s="252" t="s">
        <v>384</v>
      </c>
      <c r="F104" s="216"/>
      <c r="G104" s="254"/>
      <c r="H104" s="217"/>
      <c r="I104" s="668">
        <v>13355368</v>
      </c>
      <c r="J104" s="355">
        <v>9907543</v>
      </c>
      <c r="K104" s="355">
        <v>0</v>
      </c>
      <c r="L104" s="355">
        <v>3348750</v>
      </c>
      <c r="M104" s="355">
        <v>99075</v>
      </c>
      <c r="N104" s="355">
        <v>0</v>
      </c>
      <c r="O104" s="780">
        <v>14.882099999999999</v>
      </c>
      <c r="P104" s="668">
        <f t="shared" ref="P104:AS104" si="71">SUM(P102:P103)</f>
        <v>0</v>
      </c>
      <c r="Q104" s="355">
        <f t="shared" si="71"/>
        <v>0</v>
      </c>
      <c r="R104" s="355">
        <f t="shared" si="71"/>
        <v>0</v>
      </c>
      <c r="S104" s="355">
        <f t="shared" si="71"/>
        <v>0</v>
      </c>
      <c r="T104" s="355">
        <f t="shared" si="71"/>
        <v>0</v>
      </c>
      <c r="U104" s="355">
        <f t="shared" si="71"/>
        <v>0</v>
      </c>
      <c r="V104" s="355">
        <f t="shared" si="71"/>
        <v>0</v>
      </c>
      <c r="W104" s="355">
        <f t="shared" si="71"/>
        <v>0</v>
      </c>
      <c r="X104" s="355">
        <f t="shared" si="71"/>
        <v>0</v>
      </c>
      <c r="Y104" s="355">
        <f t="shared" si="71"/>
        <v>0</v>
      </c>
      <c r="Z104" s="355">
        <f t="shared" si="71"/>
        <v>0</v>
      </c>
      <c r="AA104" s="355">
        <f t="shared" si="71"/>
        <v>0</v>
      </c>
      <c r="AB104" s="355">
        <f t="shared" si="71"/>
        <v>0</v>
      </c>
      <c r="AC104" s="355">
        <f t="shared" si="71"/>
        <v>0</v>
      </c>
      <c r="AD104" s="355">
        <f t="shared" si="71"/>
        <v>0</v>
      </c>
      <c r="AE104" s="665">
        <f t="shared" si="71"/>
        <v>0</v>
      </c>
      <c r="AF104" s="793">
        <v>0</v>
      </c>
      <c r="AG104" s="356">
        <f t="shared" si="71"/>
        <v>0</v>
      </c>
      <c r="AH104" s="356">
        <f t="shared" si="71"/>
        <v>0</v>
      </c>
      <c r="AI104" s="356">
        <f t="shared" si="71"/>
        <v>0</v>
      </c>
      <c r="AJ104" s="356">
        <f t="shared" si="71"/>
        <v>0</v>
      </c>
      <c r="AK104" s="356">
        <f t="shared" si="71"/>
        <v>0</v>
      </c>
      <c r="AL104" s="253">
        <f t="shared" si="71"/>
        <v>0</v>
      </c>
      <c r="AM104" s="668">
        <f t="shared" si="71"/>
        <v>13355368</v>
      </c>
      <c r="AN104" s="355">
        <f t="shared" si="71"/>
        <v>9907543</v>
      </c>
      <c r="AO104" s="355">
        <f t="shared" si="71"/>
        <v>0</v>
      </c>
      <c r="AP104" s="355">
        <f t="shared" si="71"/>
        <v>3348750</v>
      </c>
      <c r="AQ104" s="355">
        <f t="shared" si="71"/>
        <v>99075</v>
      </c>
      <c r="AR104" s="355">
        <f t="shared" si="71"/>
        <v>0</v>
      </c>
      <c r="AS104" s="253">
        <f t="shared" si="71"/>
        <v>14.882099999999999</v>
      </c>
    </row>
    <row r="105" spans="1:45" ht="12.95" customHeight="1" x14ac:dyDescent="0.25">
      <c r="A105" s="205">
        <v>25</v>
      </c>
      <c r="B105" s="246">
        <v>5432</v>
      </c>
      <c r="C105" s="247">
        <v>600099024</v>
      </c>
      <c r="D105" s="206">
        <v>71003819</v>
      </c>
      <c r="E105" s="248" t="s">
        <v>385</v>
      </c>
      <c r="F105" s="206">
        <v>3111</v>
      </c>
      <c r="G105" s="248" t="s">
        <v>290</v>
      </c>
      <c r="H105" s="209" t="s">
        <v>262</v>
      </c>
      <c r="I105" s="610">
        <v>1601997</v>
      </c>
      <c r="J105" s="554">
        <v>1185448</v>
      </c>
      <c r="K105" s="554">
        <v>3000</v>
      </c>
      <c r="L105" s="431">
        <v>401695</v>
      </c>
      <c r="M105" s="431">
        <v>11854</v>
      </c>
      <c r="N105" s="325">
        <v>0</v>
      </c>
      <c r="O105" s="718">
        <v>2</v>
      </c>
      <c r="P105" s="327">
        <f t="shared" ref="P105:P108" si="72">W105*-1</f>
        <v>-2000</v>
      </c>
      <c r="Q105" s="492">
        <v>0</v>
      </c>
      <c r="R105" s="325">
        <v>0</v>
      </c>
      <c r="S105" s="325">
        <v>0</v>
      </c>
      <c r="T105" s="325">
        <v>0</v>
      </c>
      <c r="U105" s="325">
        <v>0</v>
      </c>
      <c r="V105" s="492">
        <f>P105+Q105+R105+S105+T105+U105</f>
        <v>-2000</v>
      </c>
      <c r="W105" s="325">
        <v>2000</v>
      </c>
      <c r="X105" s="325">
        <v>0</v>
      </c>
      <c r="Y105" s="325">
        <v>0</v>
      </c>
      <c r="Z105" s="492">
        <f>W105+X105+Y105</f>
        <v>2000</v>
      </c>
      <c r="AA105" s="492">
        <f>V105+Z105</f>
        <v>0</v>
      </c>
      <c r="AB105" s="494">
        <f>ROUND((V105+Z105)*33.8%,0)</f>
        <v>0</v>
      </c>
      <c r="AC105" s="494">
        <f>ROUND(V105*1%,0)</f>
        <v>-20</v>
      </c>
      <c r="AD105" s="492">
        <v>0</v>
      </c>
      <c r="AE105" s="753">
        <f t="shared" ref="AE105:AE108" si="73">AA105+AB105+AC105+AD105</f>
        <v>-20</v>
      </c>
      <c r="AF105" s="688">
        <v>0</v>
      </c>
      <c r="AG105" s="491">
        <v>0</v>
      </c>
      <c r="AH105" s="326">
        <v>0</v>
      </c>
      <c r="AI105" s="326">
        <v>0</v>
      </c>
      <c r="AJ105" s="326">
        <v>0</v>
      </c>
      <c r="AK105" s="326">
        <v>0</v>
      </c>
      <c r="AL105" s="609">
        <f>SUM(AF105:AK105)</f>
        <v>0</v>
      </c>
      <c r="AM105" s="676">
        <f>I105+AE105</f>
        <v>1601977</v>
      </c>
      <c r="AN105" s="492">
        <f>J105+V105</f>
        <v>1183448</v>
      </c>
      <c r="AO105" s="573">
        <f>K105+Z105</f>
        <v>5000</v>
      </c>
      <c r="AP105" s="492">
        <f t="shared" ref="AP105:AR108" si="74">L105+AB105</f>
        <v>401695</v>
      </c>
      <c r="AQ105" s="492">
        <f t="shared" si="74"/>
        <v>11834</v>
      </c>
      <c r="AR105" s="492">
        <f t="shared" si="74"/>
        <v>0</v>
      </c>
      <c r="AS105" s="609">
        <f>O105+AL105</f>
        <v>2</v>
      </c>
    </row>
    <row r="106" spans="1:45" ht="12.95" customHeight="1" x14ac:dyDescent="0.25">
      <c r="A106" s="205">
        <v>25</v>
      </c>
      <c r="B106" s="246">
        <v>5432</v>
      </c>
      <c r="C106" s="247">
        <v>600099024</v>
      </c>
      <c r="D106" s="206">
        <v>71003819</v>
      </c>
      <c r="E106" s="248" t="s">
        <v>385</v>
      </c>
      <c r="F106" s="206">
        <v>3117</v>
      </c>
      <c r="G106" s="248" t="s">
        <v>280</v>
      </c>
      <c r="H106" s="209" t="s">
        <v>262</v>
      </c>
      <c r="I106" s="580">
        <v>2803015</v>
      </c>
      <c r="J106" s="490">
        <v>2067476</v>
      </c>
      <c r="K106" s="554">
        <v>12000</v>
      </c>
      <c r="L106" s="431">
        <v>702864</v>
      </c>
      <c r="M106" s="431">
        <v>20675</v>
      </c>
      <c r="N106" s="325">
        <v>0</v>
      </c>
      <c r="O106" s="719">
        <v>3.2570000000000001</v>
      </c>
      <c r="P106" s="327">
        <f t="shared" si="72"/>
        <v>-8000</v>
      </c>
      <c r="Q106" s="492">
        <v>0</v>
      </c>
      <c r="R106" s="325">
        <v>0</v>
      </c>
      <c r="S106" s="325">
        <v>0</v>
      </c>
      <c r="T106" s="325">
        <v>0</v>
      </c>
      <c r="U106" s="325">
        <v>0</v>
      </c>
      <c r="V106" s="492">
        <f>P106+Q106+R106+S106+T106+U106</f>
        <v>-8000</v>
      </c>
      <c r="W106" s="325">
        <v>8000</v>
      </c>
      <c r="X106" s="325">
        <v>0</v>
      </c>
      <c r="Y106" s="325">
        <v>0</v>
      </c>
      <c r="Z106" s="492">
        <f>W106+X106+Y106</f>
        <v>8000</v>
      </c>
      <c r="AA106" s="492">
        <f>V106+Z106</f>
        <v>0</v>
      </c>
      <c r="AB106" s="494">
        <f>ROUND((V106+Z106)*33.8%,0)</f>
        <v>0</v>
      </c>
      <c r="AC106" s="494">
        <f>ROUND(V106*1%,0)</f>
        <v>-80</v>
      </c>
      <c r="AD106" s="492">
        <v>0</v>
      </c>
      <c r="AE106" s="753">
        <f t="shared" si="73"/>
        <v>-80</v>
      </c>
      <c r="AF106" s="688">
        <v>0</v>
      </c>
      <c r="AG106" s="491">
        <v>0</v>
      </c>
      <c r="AH106" s="326">
        <v>0</v>
      </c>
      <c r="AI106" s="326">
        <v>0</v>
      </c>
      <c r="AJ106" s="326">
        <v>0</v>
      </c>
      <c r="AK106" s="326">
        <v>0</v>
      </c>
      <c r="AL106" s="609">
        <f>SUM(AF106:AK106)</f>
        <v>0</v>
      </c>
      <c r="AM106" s="676">
        <f>I106+AE106</f>
        <v>2802935</v>
      </c>
      <c r="AN106" s="492">
        <f>J106+V106</f>
        <v>2059476</v>
      </c>
      <c r="AO106" s="573">
        <f>K106+Z106</f>
        <v>20000</v>
      </c>
      <c r="AP106" s="492">
        <f t="shared" si="74"/>
        <v>702864</v>
      </c>
      <c r="AQ106" s="492">
        <f t="shared" si="74"/>
        <v>20595</v>
      </c>
      <c r="AR106" s="492">
        <f t="shared" si="74"/>
        <v>0</v>
      </c>
      <c r="AS106" s="609">
        <f>O106+AL106</f>
        <v>3.2570000000000001</v>
      </c>
    </row>
    <row r="107" spans="1:45" ht="12.95" customHeight="1" x14ac:dyDescent="0.25">
      <c r="A107" s="205">
        <v>25</v>
      </c>
      <c r="B107" s="246">
        <v>5432</v>
      </c>
      <c r="C107" s="247">
        <v>600099024</v>
      </c>
      <c r="D107" s="206">
        <v>71003819</v>
      </c>
      <c r="E107" s="248" t="s">
        <v>385</v>
      </c>
      <c r="F107" s="206">
        <v>3117</v>
      </c>
      <c r="G107" s="248" t="s">
        <v>284</v>
      </c>
      <c r="H107" s="209" t="s">
        <v>263</v>
      </c>
      <c r="I107" s="580">
        <v>341780</v>
      </c>
      <c r="J107" s="490">
        <v>253546</v>
      </c>
      <c r="K107" s="554">
        <v>0</v>
      </c>
      <c r="L107" s="431">
        <v>85699</v>
      </c>
      <c r="M107" s="431">
        <v>2535</v>
      </c>
      <c r="N107" s="325">
        <v>0</v>
      </c>
      <c r="O107" s="719">
        <v>0.64</v>
      </c>
      <c r="P107" s="327">
        <f t="shared" si="72"/>
        <v>0</v>
      </c>
      <c r="Q107" s="492">
        <v>0</v>
      </c>
      <c r="R107" s="325">
        <v>0</v>
      </c>
      <c r="S107" s="325">
        <v>0</v>
      </c>
      <c r="T107" s="325">
        <v>0</v>
      </c>
      <c r="U107" s="325">
        <v>0</v>
      </c>
      <c r="V107" s="492">
        <f>P107+Q107+R107+S107+T107+U107</f>
        <v>0</v>
      </c>
      <c r="W107" s="325">
        <v>0</v>
      </c>
      <c r="X107" s="325">
        <v>0</v>
      </c>
      <c r="Y107" s="325">
        <v>0</v>
      </c>
      <c r="Z107" s="492">
        <f>W107+X107+Y107</f>
        <v>0</v>
      </c>
      <c r="AA107" s="492">
        <f>V107+Z107</f>
        <v>0</v>
      </c>
      <c r="AB107" s="494">
        <f>ROUND((V107+Z107)*33.8%,0)</f>
        <v>0</v>
      </c>
      <c r="AC107" s="494">
        <f>ROUND(V107*1%,0)</f>
        <v>0</v>
      </c>
      <c r="AD107" s="492">
        <v>0</v>
      </c>
      <c r="AE107" s="753">
        <f t="shared" si="73"/>
        <v>0</v>
      </c>
      <c r="AF107" s="688">
        <v>0</v>
      </c>
      <c r="AG107" s="491">
        <v>0</v>
      </c>
      <c r="AH107" s="326">
        <v>0</v>
      </c>
      <c r="AI107" s="326">
        <v>0</v>
      </c>
      <c r="AJ107" s="326">
        <v>0</v>
      </c>
      <c r="AK107" s="326">
        <v>0</v>
      </c>
      <c r="AL107" s="609">
        <f>SUM(AF107:AK107)</f>
        <v>0</v>
      </c>
      <c r="AM107" s="676">
        <f>I107+AE107</f>
        <v>341780</v>
      </c>
      <c r="AN107" s="492">
        <f>J107+V107</f>
        <v>253546</v>
      </c>
      <c r="AO107" s="573">
        <f>K107+Z107</f>
        <v>0</v>
      </c>
      <c r="AP107" s="492">
        <f t="shared" si="74"/>
        <v>85699</v>
      </c>
      <c r="AQ107" s="492">
        <f t="shared" si="74"/>
        <v>2535</v>
      </c>
      <c r="AR107" s="492">
        <f t="shared" si="74"/>
        <v>0</v>
      </c>
      <c r="AS107" s="609">
        <f>O107+AL107</f>
        <v>0.64</v>
      </c>
    </row>
    <row r="108" spans="1:45" ht="12.95" customHeight="1" x14ac:dyDescent="0.25">
      <c r="A108" s="205">
        <v>25</v>
      </c>
      <c r="B108" s="246">
        <v>5432</v>
      </c>
      <c r="C108" s="247">
        <v>600099024</v>
      </c>
      <c r="D108" s="206">
        <v>71003819</v>
      </c>
      <c r="E108" s="248" t="s">
        <v>385</v>
      </c>
      <c r="F108" s="206">
        <v>3143</v>
      </c>
      <c r="G108" s="248" t="s">
        <v>794</v>
      </c>
      <c r="H108" s="209" t="s">
        <v>262</v>
      </c>
      <c r="I108" s="580">
        <v>748203</v>
      </c>
      <c r="J108" s="490">
        <v>552069</v>
      </c>
      <c r="K108" s="554">
        <v>3000</v>
      </c>
      <c r="L108" s="431">
        <v>187613</v>
      </c>
      <c r="M108" s="431">
        <v>5521</v>
      </c>
      <c r="N108" s="325">
        <v>0</v>
      </c>
      <c r="O108" s="719">
        <v>1.0831</v>
      </c>
      <c r="P108" s="327">
        <f t="shared" si="72"/>
        <v>-2000</v>
      </c>
      <c r="Q108" s="492">
        <v>0</v>
      </c>
      <c r="R108" s="325">
        <v>0</v>
      </c>
      <c r="S108" s="325">
        <v>0</v>
      </c>
      <c r="T108" s="325">
        <v>0</v>
      </c>
      <c r="U108" s="325">
        <v>0</v>
      </c>
      <c r="V108" s="492">
        <f>P108+Q108+R108+S108+T108+U108</f>
        <v>-2000</v>
      </c>
      <c r="W108" s="325">
        <v>2000</v>
      </c>
      <c r="X108" s="325">
        <v>0</v>
      </c>
      <c r="Y108" s="325">
        <v>0</v>
      </c>
      <c r="Z108" s="492">
        <f>W108+X108+Y108</f>
        <v>2000</v>
      </c>
      <c r="AA108" s="492">
        <f>V108+Z108</f>
        <v>0</v>
      </c>
      <c r="AB108" s="494">
        <f>ROUND((V108+Z108)*33.8%,0)</f>
        <v>0</v>
      </c>
      <c r="AC108" s="494">
        <f>ROUND(V108*1%,0)</f>
        <v>-20</v>
      </c>
      <c r="AD108" s="492">
        <v>0</v>
      </c>
      <c r="AE108" s="753">
        <f t="shared" si="73"/>
        <v>-20</v>
      </c>
      <c r="AF108" s="688">
        <v>0</v>
      </c>
      <c r="AG108" s="491">
        <v>0</v>
      </c>
      <c r="AH108" s="326">
        <v>0</v>
      </c>
      <c r="AI108" s="326">
        <v>0</v>
      </c>
      <c r="AJ108" s="326">
        <v>0</v>
      </c>
      <c r="AK108" s="326">
        <v>0</v>
      </c>
      <c r="AL108" s="609">
        <f>SUM(AF108:AK108)</f>
        <v>0</v>
      </c>
      <c r="AM108" s="676">
        <f>I108+AE108</f>
        <v>748183</v>
      </c>
      <c r="AN108" s="492">
        <f>J108+V108</f>
        <v>550069</v>
      </c>
      <c r="AO108" s="573">
        <f>K108+Z108</f>
        <v>5000</v>
      </c>
      <c r="AP108" s="492">
        <f t="shared" si="74"/>
        <v>187613</v>
      </c>
      <c r="AQ108" s="492">
        <f t="shared" si="74"/>
        <v>5501</v>
      </c>
      <c r="AR108" s="492">
        <f t="shared" si="74"/>
        <v>0</v>
      </c>
      <c r="AS108" s="609">
        <f>O108+AL108</f>
        <v>1.0831</v>
      </c>
    </row>
    <row r="109" spans="1:45" ht="12.95" customHeight="1" x14ac:dyDescent="0.25">
      <c r="A109" s="249">
        <v>25</v>
      </c>
      <c r="B109" s="250">
        <v>5432</v>
      </c>
      <c r="C109" s="251">
        <v>600099024</v>
      </c>
      <c r="D109" s="250">
        <v>71003819</v>
      </c>
      <c r="E109" s="252" t="s">
        <v>386</v>
      </c>
      <c r="F109" s="216"/>
      <c r="G109" s="254"/>
      <c r="H109" s="217"/>
      <c r="I109" s="668">
        <v>5494995</v>
      </c>
      <c r="J109" s="355">
        <v>4058539</v>
      </c>
      <c r="K109" s="355">
        <v>18000</v>
      </c>
      <c r="L109" s="355">
        <v>1377871</v>
      </c>
      <c r="M109" s="355">
        <v>40585</v>
      </c>
      <c r="N109" s="355">
        <v>0</v>
      </c>
      <c r="O109" s="780">
        <v>6.9800999999999993</v>
      </c>
      <c r="P109" s="668">
        <f t="shared" ref="P109:AS109" si="75">SUM(P105:P108)</f>
        <v>-12000</v>
      </c>
      <c r="Q109" s="355">
        <f t="shared" si="75"/>
        <v>0</v>
      </c>
      <c r="R109" s="355">
        <f t="shared" si="75"/>
        <v>0</v>
      </c>
      <c r="S109" s="355">
        <f t="shared" si="75"/>
        <v>0</v>
      </c>
      <c r="T109" s="355">
        <f t="shared" si="75"/>
        <v>0</v>
      </c>
      <c r="U109" s="355">
        <f t="shared" si="75"/>
        <v>0</v>
      </c>
      <c r="V109" s="355">
        <f t="shared" si="75"/>
        <v>-12000</v>
      </c>
      <c r="W109" s="355">
        <f t="shared" si="75"/>
        <v>12000</v>
      </c>
      <c r="X109" s="355">
        <f t="shared" si="75"/>
        <v>0</v>
      </c>
      <c r="Y109" s="355">
        <f t="shared" si="75"/>
        <v>0</v>
      </c>
      <c r="Z109" s="355">
        <f t="shared" si="75"/>
        <v>12000</v>
      </c>
      <c r="AA109" s="355">
        <f t="shared" si="75"/>
        <v>0</v>
      </c>
      <c r="AB109" s="355">
        <f t="shared" si="75"/>
        <v>0</v>
      </c>
      <c r="AC109" s="355">
        <f t="shared" si="75"/>
        <v>-120</v>
      </c>
      <c r="AD109" s="355">
        <f t="shared" si="75"/>
        <v>0</v>
      </c>
      <c r="AE109" s="665">
        <f t="shared" si="75"/>
        <v>-120</v>
      </c>
      <c r="AF109" s="793">
        <v>0</v>
      </c>
      <c r="AG109" s="356">
        <f t="shared" si="75"/>
        <v>0</v>
      </c>
      <c r="AH109" s="356">
        <f t="shared" si="75"/>
        <v>0</v>
      </c>
      <c r="AI109" s="356">
        <f t="shared" si="75"/>
        <v>0</v>
      </c>
      <c r="AJ109" s="356">
        <f t="shared" si="75"/>
        <v>0</v>
      </c>
      <c r="AK109" s="356">
        <f t="shared" si="75"/>
        <v>0</v>
      </c>
      <c r="AL109" s="253">
        <f t="shared" si="75"/>
        <v>0</v>
      </c>
      <c r="AM109" s="668">
        <f t="shared" si="75"/>
        <v>5494875</v>
      </c>
      <c r="AN109" s="355">
        <f t="shared" si="75"/>
        <v>4046539</v>
      </c>
      <c r="AO109" s="355">
        <f t="shared" si="75"/>
        <v>30000</v>
      </c>
      <c r="AP109" s="355">
        <f t="shared" si="75"/>
        <v>1377871</v>
      </c>
      <c r="AQ109" s="355">
        <f t="shared" si="75"/>
        <v>40465</v>
      </c>
      <c r="AR109" s="355">
        <f t="shared" si="75"/>
        <v>0</v>
      </c>
      <c r="AS109" s="253">
        <f t="shared" si="75"/>
        <v>6.9800999999999993</v>
      </c>
    </row>
    <row r="110" spans="1:45" ht="12.95" customHeight="1" x14ac:dyDescent="0.25">
      <c r="A110" s="205">
        <v>26</v>
      </c>
      <c r="B110" s="246">
        <v>5452</v>
      </c>
      <c r="C110" s="247">
        <v>600099245</v>
      </c>
      <c r="D110" s="206">
        <v>70188416</v>
      </c>
      <c r="E110" s="248" t="s">
        <v>387</v>
      </c>
      <c r="F110" s="206">
        <v>3111</v>
      </c>
      <c r="G110" s="248" t="s">
        <v>290</v>
      </c>
      <c r="H110" s="209" t="s">
        <v>262</v>
      </c>
      <c r="I110" s="610">
        <v>1631407</v>
      </c>
      <c r="J110" s="554">
        <v>1205478</v>
      </c>
      <c r="K110" s="554">
        <v>4800</v>
      </c>
      <c r="L110" s="431">
        <v>409074</v>
      </c>
      <c r="M110" s="431">
        <v>12055</v>
      </c>
      <c r="N110" s="325">
        <v>0</v>
      </c>
      <c r="O110" s="718">
        <v>1.9354</v>
      </c>
      <c r="P110" s="327">
        <f t="shared" ref="P110:P113" si="76">W110*-1</f>
        <v>-3200</v>
      </c>
      <c r="Q110" s="492">
        <v>0</v>
      </c>
      <c r="R110" s="325">
        <v>0</v>
      </c>
      <c r="S110" s="325">
        <v>0</v>
      </c>
      <c r="T110" s="325">
        <v>0</v>
      </c>
      <c r="U110" s="325">
        <v>0</v>
      </c>
      <c r="V110" s="492">
        <f>P110+Q110+R110+S110+T110+U110</f>
        <v>-3200</v>
      </c>
      <c r="W110" s="325">
        <v>3200</v>
      </c>
      <c r="X110" s="325">
        <v>0</v>
      </c>
      <c r="Y110" s="325">
        <v>0</v>
      </c>
      <c r="Z110" s="492">
        <f>W110+X110+Y110</f>
        <v>3200</v>
      </c>
      <c r="AA110" s="492">
        <f>V110+Z110</f>
        <v>0</v>
      </c>
      <c r="AB110" s="494">
        <f>ROUND((V110+Z110)*33.8%,0)</f>
        <v>0</v>
      </c>
      <c r="AC110" s="494">
        <f>ROUND(V110*1%,0)</f>
        <v>-32</v>
      </c>
      <c r="AD110" s="492">
        <v>0</v>
      </c>
      <c r="AE110" s="753">
        <f t="shared" ref="AE110:AE113" si="77">AA110+AB110+AC110+AD110</f>
        <v>-32</v>
      </c>
      <c r="AF110" s="688">
        <v>0</v>
      </c>
      <c r="AG110" s="491">
        <v>0</v>
      </c>
      <c r="AH110" s="326">
        <v>0</v>
      </c>
      <c r="AI110" s="326">
        <v>0</v>
      </c>
      <c r="AJ110" s="326">
        <v>0</v>
      </c>
      <c r="AK110" s="326">
        <v>0</v>
      </c>
      <c r="AL110" s="609">
        <f>SUM(AF110:AK110)</f>
        <v>0</v>
      </c>
      <c r="AM110" s="676">
        <f>I110+AE110</f>
        <v>1631375</v>
      </c>
      <c r="AN110" s="492">
        <f>J110+V110</f>
        <v>1202278</v>
      </c>
      <c r="AO110" s="573">
        <f>K110+Z110</f>
        <v>8000</v>
      </c>
      <c r="AP110" s="492">
        <f t="shared" ref="AP110:AR113" si="78">L110+AB110</f>
        <v>409074</v>
      </c>
      <c r="AQ110" s="492">
        <f t="shared" si="78"/>
        <v>12023</v>
      </c>
      <c r="AR110" s="492">
        <f t="shared" si="78"/>
        <v>0</v>
      </c>
      <c r="AS110" s="609">
        <f>O110+AL110</f>
        <v>1.9354</v>
      </c>
    </row>
    <row r="111" spans="1:45" ht="12.95" customHeight="1" x14ac:dyDescent="0.25">
      <c r="A111" s="205">
        <v>26</v>
      </c>
      <c r="B111" s="246">
        <v>5452</v>
      </c>
      <c r="C111" s="247">
        <v>600099245</v>
      </c>
      <c r="D111" s="206">
        <v>70188416</v>
      </c>
      <c r="E111" s="248" t="s">
        <v>387</v>
      </c>
      <c r="F111" s="206">
        <v>3117</v>
      </c>
      <c r="G111" s="248" t="s">
        <v>280</v>
      </c>
      <c r="H111" s="209" t="s">
        <v>262</v>
      </c>
      <c r="I111" s="580">
        <v>3325980</v>
      </c>
      <c r="J111" s="490">
        <v>2458412</v>
      </c>
      <c r="K111" s="554">
        <v>9000</v>
      </c>
      <c r="L111" s="431">
        <v>833985</v>
      </c>
      <c r="M111" s="431">
        <v>24583</v>
      </c>
      <c r="N111" s="325">
        <v>0</v>
      </c>
      <c r="O111" s="719">
        <v>3.6990000000000003</v>
      </c>
      <c r="P111" s="327">
        <f t="shared" si="76"/>
        <v>-6000</v>
      </c>
      <c r="Q111" s="492">
        <v>0</v>
      </c>
      <c r="R111" s="325">
        <v>0</v>
      </c>
      <c r="S111" s="325">
        <v>0</v>
      </c>
      <c r="T111" s="325">
        <v>0</v>
      </c>
      <c r="U111" s="325">
        <v>0</v>
      </c>
      <c r="V111" s="492">
        <f>P111+Q111+R111+S111+T111+U111</f>
        <v>-6000</v>
      </c>
      <c r="W111" s="325">
        <v>6000</v>
      </c>
      <c r="X111" s="325">
        <v>0</v>
      </c>
      <c r="Y111" s="325">
        <v>0</v>
      </c>
      <c r="Z111" s="492">
        <f>W111+X111+Y111</f>
        <v>6000</v>
      </c>
      <c r="AA111" s="492">
        <f>V111+Z111</f>
        <v>0</v>
      </c>
      <c r="AB111" s="494">
        <f>ROUND((V111+Z111)*33.8%,0)</f>
        <v>0</v>
      </c>
      <c r="AC111" s="494">
        <f>ROUND(V111*1%,0)</f>
        <v>-60</v>
      </c>
      <c r="AD111" s="492">
        <v>0</v>
      </c>
      <c r="AE111" s="753">
        <f t="shared" si="77"/>
        <v>-60</v>
      </c>
      <c r="AF111" s="688">
        <v>0</v>
      </c>
      <c r="AG111" s="491">
        <v>0</v>
      </c>
      <c r="AH111" s="326">
        <v>0</v>
      </c>
      <c r="AI111" s="326">
        <v>0</v>
      </c>
      <c r="AJ111" s="326">
        <v>0</v>
      </c>
      <c r="AK111" s="326">
        <v>0</v>
      </c>
      <c r="AL111" s="609">
        <f>SUM(AF111:AK111)</f>
        <v>0</v>
      </c>
      <c r="AM111" s="676">
        <f>I111+AE111</f>
        <v>3325920</v>
      </c>
      <c r="AN111" s="492">
        <f>J111+V111</f>
        <v>2452412</v>
      </c>
      <c r="AO111" s="573">
        <f>K111+Z111</f>
        <v>15000</v>
      </c>
      <c r="AP111" s="492">
        <f t="shared" si="78"/>
        <v>833985</v>
      </c>
      <c r="AQ111" s="492">
        <f t="shared" si="78"/>
        <v>24523</v>
      </c>
      <c r="AR111" s="492">
        <f t="shared" si="78"/>
        <v>0</v>
      </c>
      <c r="AS111" s="609">
        <f>O111+AL111</f>
        <v>3.6990000000000003</v>
      </c>
    </row>
    <row r="112" spans="1:45" ht="12.95" customHeight="1" x14ac:dyDescent="0.25">
      <c r="A112" s="205">
        <v>26</v>
      </c>
      <c r="B112" s="246">
        <v>5452</v>
      </c>
      <c r="C112" s="247">
        <v>600099245</v>
      </c>
      <c r="D112" s="206">
        <v>70188416</v>
      </c>
      <c r="E112" s="248" t="s">
        <v>387</v>
      </c>
      <c r="F112" s="206">
        <v>3117</v>
      </c>
      <c r="G112" s="248" t="s">
        <v>284</v>
      </c>
      <c r="H112" s="209" t="s">
        <v>263</v>
      </c>
      <c r="I112" s="580">
        <v>1777427</v>
      </c>
      <c r="J112" s="490">
        <v>1318566</v>
      </c>
      <c r="K112" s="554">
        <v>0</v>
      </c>
      <c r="L112" s="431">
        <v>445675</v>
      </c>
      <c r="M112" s="431">
        <v>13186</v>
      </c>
      <c r="N112" s="325">
        <v>0</v>
      </c>
      <c r="O112" s="719">
        <v>3.2600000000000002</v>
      </c>
      <c r="P112" s="327">
        <f t="shared" si="76"/>
        <v>0</v>
      </c>
      <c r="Q112" s="492">
        <v>0</v>
      </c>
      <c r="R112" s="325">
        <v>0</v>
      </c>
      <c r="S112" s="325">
        <v>0</v>
      </c>
      <c r="T112" s="325">
        <v>0</v>
      </c>
      <c r="U112" s="325">
        <v>0</v>
      </c>
      <c r="V112" s="492">
        <f>P112+Q112+R112+S112+T112+U112</f>
        <v>0</v>
      </c>
      <c r="W112" s="325">
        <v>0</v>
      </c>
      <c r="X112" s="325">
        <v>0</v>
      </c>
      <c r="Y112" s="325">
        <v>0</v>
      </c>
      <c r="Z112" s="492">
        <f>W112+X112+Y112</f>
        <v>0</v>
      </c>
      <c r="AA112" s="492">
        <f>V112+Z112</f>
        <v>0</v>
      </c>
      <c r="AB112" s="494">
        <f>ROUND((V112+Z112)*33.8%,0)</f>
        <v>0</v>
      </c>
      <c r="AC112" s="494">
        <f>ROUND(V112*1%,0)</f>
        <v>0</v>
      </c>
      <c r="AD112" s="492">
        <v>0</v>
      </c>
      <c r="AE112" s="753">
        <f t="shared" si="77"/>
        <v>0</v>
      </c>
      <c r="AF112" s="688">
        <v>0</v>
      </c>
      <c r="AG112" s="491">
        <v>0</v>
      </c>
      <c r="AH112" s="326">
        <v>0</v>
      </c>
      <c r="AI112" s="326">
        <v>0</v>
      </c>
      <c r="AJ112" s="326">
        <v>0</v>
      </c>
      <c r="AK112" s="326">
        <v>0</v>
      </c>
      <c r="AL112" s="609">
        <f>SUM(AF112:AK112)</f>
        <v>0</v>
      </c>
      <c r="AM112" s="676">
        <f>I112+AE112</f>
        <v>1777427</v>
      </c>
      <c r="AN112" s="492">
        <f>J112+V112</f>
        <v>1318566</v>
      </c>
      <c r="AO112" s="573">
        <f>K112+Z112</f>
        <v>0</v>
      </c>
      <c r="AP112" s="492">
        <f t="shared" si="78"/>
        <v>445675</v>
      </c>
      <c r="AQ112" s="492">
        <f t="shared" si="78"/>
        <v>13186</v>
      </c>
      <c r="AR112" s="492">
        <f t="shared" si="78"/>
        <v>0</v>
      </c>
      <c r="AS112" s="609">
        <f>O112+AL112</f>
        <v>3.2600000000000002</v>
      </c>
    </row>
    <row r="113" spans="1:45" ht="12.95" customHeight="1" x14ac:dyDescent="0.25">
      <c r="A113" s="205">
        <v>26</v>
      </c>
      <c r="B113" s="246">
        <v>5452</v>
      </c>
      <c r="C113" s="247">
        <v>600099245</v>
      </c>
      <c r="D113" s="206">
        <v>70188416</v>
      </c>
      <c r="E113" s="248" t="s">
        <v>387</v>
      </c>
      <c r="F113" s="206">
        <v>3143</v>
      </c>
      <c r="G113" s="248" t="s">
        <v>794</v>
      </c>
      <c r="H113" s="209" t="s">
        <v>262</v>
      </c>
      <c r="I113" s="580">
        <v>620927</v>
      </c>
      <c r="J113" s="490">
        <v>456459</v>
      </c>
      <c r="K113" s="554">
        <v>4200</v>
      </c>
      <c r="L113" s="431">
        <v>155703</v>
      </c>
      <c r="M113" s="431">
        <v>4565</v>
      </c>
      <c r="N113" s="325">
        <v>0</v>
      </c>
      <c r="O113" s="719">
        <v>0.89639999999999997</v>
      </c>
      <c r="P113" s="327">
        <f t="shared" si="76"/>
        <v>-2800</v>
      </c>
      <c r="Q113" s="492">
        <v>0</v>
      </c>
      <c r="R113" s="325">
        <v>0</v>
      </c>
      <c r="S113" s="325">
        <v>0</v>
      </c>
      <c r="T113" s="325">
        <v>0</v>
      </c>
      <c r="U113" s="325">
        <v>0</v>
      </c>
      <c r="V113" s="492">
        <f>P113+Q113+R113+S113+T113+U113</f>
        <v>-2800</v>
      </c>
      <c r="W113" s="325">
        <v>2800</v>
      </c>
      <c r="X113" s="325">
        <v>0</v>
      </c>
      <c r="Y113" s="325">
        <v>0</v>
      </c>
      <c r="Z113" s="492">
        <f>W113+X113+Y113</f>
        <v>2800</v>
      </c>
      <c r="AA113" s="492">
        <f>V113+Z113</f>
        <v>0</v>
      </c>
      <c r="AB113" s="494">
        <f>ROUND((V113+Z113)*33.8%,0)</f>
        <v>0</v>
      </c>
      <c r="AC113" s="494">
        <f>ROUND(V113*1%,0)</f>
        <v>-28</v>
      </c>
      <c r="AD113" s="492">
        <v>0</v>
      </c>
      <c r="AE113" s="753">
        <f t="shared" si="77"/>
        <v>-28</v>
      </c>
      <c r="AF113" s="688">
        <v>0</v>
      </c>
      <c r="AG113" s="491">
        <v>0</v>
      </c>
      <c r="AH113" s="326">
        <v>0</v>
      </c>
      <c r="AI113" s="326">
        <v>0</v>
      </c>
      <c r="AJ113" s="326">
        <v>0</v>
      </c>
      <c r="AK113" s="326">
        <v>0</v>
      </c>
      <c r="AL113" s="609">
        <f>SUM(AF113:AK113)</f>
        <v>0</v>
      </c>
      <c r="AM113" s="676">
        <f>I113+AE113</f>
        <v>620899</v>
      </c>
      <c r="AN113" s="492">
        <f>J113+V113</f>
        <v>453659</v>
      </c>
      <c r="AO113" s="573">
        <f>K113+Z113</f>
        <v>7000</v>
      </c>
      <c r="AP113" s="492">
        <f t="shared" si="78"/>
        <v>155703</v>
      </c>
      <c r="AQ113" s="492">
        <f t="shared" si="78"/>
        <v>4537</v>
      </c>
      <c r="AR113" s="492">
        <f t="shared" si="78"/>
        <v>0</v>
      </c>
      <c r="AS113" s="609">
        <f>O113+AL113</f>
        <v>0.89639999999999997</v>
      </c>
    </row>
    <row r="114" spans="1:45" ht="12.95" customHeight="1" x14ac:dyDescent="0.25">
      <c r="A114" s="249">
        <v>26</v>
      </c>
      <c r="B114" s="250">
        <v>5452</v>
      </c>
      <c r="C114" s="251">
        <v>600099245</v>
      </c>
      <c r="D114" s="250">
        <v>70188416</v>
      </c>
      <c r="E114" s="252" t="s">
        <v>388</v>
      </c>
      <c r="F114" s="216"/>
      <c r="G114" s="254"/>
      <c r="H114" s="217"/>
      <c r="I114" s="668">
        <v>7355741</v>
      </c>
      <c r="J114" s="355">
        <v>5438915</v>
      </c>
      <c r="K114" s="355">
        <v>18000</v>
      </c>
      <c r="L114" s="355">
        <v>1844437</v>
      </c>
      <c r="M114" s="355">
        <v>54389</v>
      </c>
      <c r="N114" s="355">
        <v>0</v>
      </c>
      <c r="O114" s="780">
        <v>9.7908000000000008</v>
      </c>
      <c r="P114" s="668">
        <f t="shared" ref="P114:AS114" si="79">SUM(P110:P113)</f>
        <v>-12000</v>
      </c>
      <c r="Q114" s="355">
        <f t="shared" si="79"/>
        <v>0</v>
      </c>
      <c r="R114" s="355">
        <f t="shared" si="79"/>
        <v>0</v>
      </c>
      <c r="S114" s="355">
        <f t="shared" si="79"/>
        <v>0</v>
      </c>
      <c r="T114" s="355">
        <f t="shared" si="79"/>
        <v>0</v>
      </c>
      <c r="U114" s="355">
        <f t="shared" si="79"/>
        <v>0</v>
      </c>
      <c r="V114" s="355">
        <f t="shared" si="79"/>
        <v>-12000</v>
      </c>
      <c r="W114" s="355">
        <f t="shared" si="79"/>
        <v>12000</v>
      </c>
      <c r="X114" s="355">
        <f t="shared" si="79"/>
        <v>0</v>
      </c>
      <c r="Y114" s="355">
        <f t="shared" si="79"/>
        <v>0</v>
      </c>
      <c r="Z114" s="355">
        <f t="shared" si="79"/>
        <v>12000</v>
      </c>
      <c r="AA114" s="355">
        <f t="shared" si="79"/>
        <v>0</v>
      </c>
      <c r="AB114" s="355">
        <f t="shared" si="79"/>
        <v>0</v>
      </c>
      <c r="AC114" s="355">
        <f t="shared" si="79"/>
        <v>-120</v>
      </c>
      <c r="AD114" s="355">
        <f t="shared" si="79"/>
        <v>0</v>
      </c>
      <c r="AE114" s="665">
        <f t="shared" si="79"/>
        <v>-120</v>
      </c>
      <c r="AF114" s="793">
        <f t="shared" si="79"/>
        <v>0</v>
      </c>
      <c r="AG114" s="356">
        <f t="shared" si="79"/>
        <v>0</v>
      </c>
      <c r="AH114" s="356">
        <f t="shared" si="79"/>
        <v>0</v>
      </c>
      <c r="AI114" s="356">
        <f t="shared" si="79"/>
        <v>0</v>
      </c>
      <c r="AJ114" s="356">
        <f t="shared" si="79"/>
        <v>0</v>
      </c>
      <c r="AK114" s="356">
        <f t="shared" si="79"/>
        <v>0</v>
      </c>
      <c r="AL114" s="253">
        <f t="shared" si="79"/>
        <v>0</v>
      </c>
      <c r="AM114" s="668">
        <f t="shared" si="79"/>
        <v>7355621</v>
      </c>
      <c r="AN114" s="355">
        <f t="shared" si="79"/>
        <v>5426915</v>
      </c>
      <c r="AO114" s="355">
        <f t="shared" si="79"/>
        <v>30000</v>
      </c>
      <c r="AP114" s="355">
        <f t="shared" si="79"/>
        <v>1844437</v>
      </c>
      <c r="AQ114" s="355">
        <f t="shared" si="79"/>
        <v>54269</v>
      </c>
      <c r="AR114" s="355">
        <f t="shared" si="79"/>
        <v>0</v>
      </c>
      <c r="AS114" s="253">
        <f t="shared" si="79"/>
        <v>9.7908000000000008</v>
      </c>
    </row>
    <row r="115" spans="1:45" ht="12.95" customHeight="1" x14ac:dyDescent="0.25">
      <c r="A115" s="205">
        <v>27</v>
      </c>
      <c r="B115" s="246">
        <v>5428</v>
      </c>
      <c r="C115" s="247">
        <v>600099059</v>
      </c>
      <c r="D115" s="206">
        <v>70985740</v>
      </c>
      <c r="E115" s="248" t="s">
        <v>389</v>
      </c>
      <c r="F115" s="206">
        <v>3111</v>
      </c>
      <c r="G115" s="248" t="s">
        <v>290</v>
      </c>
      <c r="H115" s="209" t="s">
        <v>262</v>
      </c>
      <c r="I115" s="610">
        <v>1556305</v>
      </c>
      <c r="J115" s="554">
        <v>1148573</v>
      </c>
      <c r="K115" s="554">
        <v>6000</v>
      </c>
      <c r="L115" s="431">
        <v>390246</v>
      </c>
      <c r="M115" s="431">
        <v>11486</v>
      </c>
      <c r="N115" s="325">
        <v>0</v>
      </c>
      <c r="O115" s="718">
        <v>1.9355</v>
      </c>
      <c r="P115" s="327">
        <f t="shared" ref="P115:P118" si="80">W115*-1</f>
        <v>-4000</v>
      </c>
      <c r="Q115" s="492">
        <v>0</v>
      </c>
      <c r="R115" s="325">
        <v>0</v>
      </c>
      <c r="S115" s="325">
        <v>0</v>
      </c>
      <c r="T115" s="325">
        <v>0</v>
      </c>
      <c r="U115" s="325">
        <v>0</v>
      </c>
      <c r="V115" s="492">
        <f>P115+Q115+R115+S115+T115+U115</f>
        <v>-4000</v>
      </c>
      <c r="W115" s="325">
        <v>4000</v>
      </c>
      <c r="X115" s="325">
        <v>0</v>
      </c>
      <c r="Y115" s="325">
        <v>0</v>
      </c>
      <c r="Z115" s="492">
        <f>W115+X115+Y115</f>
        <v>4000</v>
      </c>
      <c r="AA115" s="492">
        <f>V115+Z115</f>
        <v>0</v>
      </c>
      <c r="AB115" s="494">
        <f>ROUND((V115+Z115)*33.8%,0)</f>
        <v>0</v>
      </c>
      <c r="AC115" s="494">
        <f>ROUND(V115*1%,0)</f>
        <v>-40</v>
      </c>
      <c r="AD115" s="492">
        <v>0</v>
      </c>
      <c r="AE115" s="753">
        <f t="shared" ref="AE115:AE118" si="81">AA115+AB115+AC115+AD115</f>
        <v>-40</v>
      </c>
      <c r="AF115" s="688">
        <v>0</v>
      </c>
      <c r="AG115" s="491">
        <v>0</v>
      </c>
      <c r="AH115" s="326">
        <v>0</v>
      </c>
      <c r="AI115" s="326">
        <v>0</v>
      </c>
      <c r="AJ115" s="326">
        <v>0</v>
      </c>
      <c r="AK115" s="326">
        <v>0</v>
      </c>
      <c r="AL115" s="609">
        <f>SUM(AF115:AK115)</f>
        <v>0</v>
      </c>
      <c r="AM115" s="676">
        <f>I115+AE115</f>
        <v>1556265</v>
      </c>
      <c r="AN115" s="492">
        <f>J115+V115</f>
        <v>1144573</v>
      </c>
      <c r="AO115" s="573">
        <f>K115+Z115</f>
        <v>10000</v>
      </c>
      <c r="AP115" s="492">
        <f t="shared" ref="AP115:AR118" si="82">L115+AB115</f>
        <v>390246</v>
      </c>
      <c r="AQ115" s="492">
        <f t="shared" si="82"/>
        <v>11446</v>
      </c>
      <c r="AR115" s="492">
        <f t="shared" si="82"/>
        <v>0</v>
      </c>
      <c r="AS115" s="609">
        <f>O115+AL115</f>
        <v>1.9355</v>
      </c>
    </row>
    <row r="116" spans="1:45" ht="12.95" customHeight="1" x14ac:dyDescent="0.25">
      <c r="A116" s="205">
        <v>27</v>
      </c>
      <c r="B116" s="246">
        <v>5428</v>
      </c>
      <c r="C116" s="247">
        <v>600099059</v>
      </c>
      <c r="D116" s="206">
        <v>70985740</v>
      </c>
      <c r="E116" s="248" t="s">
        <v>389</v>
      </c>
      <c r="F116" s="206">
        <v>3117</v>
      </c>
      <c r="G116" s="248" t="s">
        <v>280</v>
      </c>
      <c r="H116" s="209" t="s">
        <v>262</v>
      </c>
      <c r="I116" s="580">
        <v>2055755</v>
      </c>
      <c r="J116" s="490">
        <v>1519086</v>
      </c>
      <c r="K116" s="554">
        <v>6000</v>
      </c>
      <c r="L116" s="431">
        <v>515478</v>
      </c>
      <c r="M116" s="431">
        <v>15191</v>
      </c>
      <c r="N116" s="325">
        <v>0</v>
      </c>
      <c r="O116" s="719">
        <v>2.3180000000000001</v>
      </c>
      <c r="P116" s="327">
        <f t="shared" si="80"/>
        <v>-4000</v>
      </c>
      <c r="Q116" s="492">
        <v>0</v>
      </c>
      <c r="R116" s="325">
        <v>0</v>
      </c>
      <c r="S116" s="325">
        <v>0</v>
      </c>
      <c r="T116" s="325">
        <v>0</v>
      </c>
      <c r="U116" s="325">
        <v>0</v>
      </c>
      <c r="V116" s="492">
        <f>P116+Q116+R116+S116+T116+U116</f>
        <v>-4000</v>
      </c>
      <c r="W116" s="325">
        <v>4000</v>
      </c>
      <c r="X116" s="325">
        <v>0</v>
      </c>
      <c r="Y116" s="325">
        <v>0</v>
      </c>
      <c r="Z116" s="492">
        <f>W116+X116+Y116</f>
        <v>4000</v>
      </c>
      <c r="AA116" s="492">
        <f>V116+Z116</f>
        <v>0</v>
      </c>
      <c r="AB116" s="494">
        <f>ROUND((V116+Z116)*33.8%,0)</f>
        <v>0</v>
      </c>
      <c r="AC116" s="494">
        <f>ROUND(V116*1%,0)</f>
        <v>-40</v>
      </c>
      <c r="AD116" s="492">
        <v>0</v>
      </c>
      <c r="AE116" s="753">
        <f t="shared" si="81"/>
        <v>-40</v>
      </c>
      <c r="AF116" s="688">
        <v>0</v>
      </c>
      <c r="AG116" s="491">
        <v>0</v>
      </c>
      <c r="AH116" s="326">
        <v>0</v>
      </c>
      <c r="AI116" s="326">
        <v>0</v>
      </c>
      <c r="AJ116" s="326">
        <v>0</v>
      </c>
      <c r="AK116" s="326">
        <v>0</v>
      </c>
      <c r="AL116" s="609">
        <f>SUM(AF116:AK116)</f>
        <v>0</v>
      </c>
      <c r="AM116" s="676">
        <f>I116+AE116</f>
        <v>2055715</v>
      </c>
      <c r="AN116" s="492">
        <f>J116+V116</f>
        <v>1515086</v>
      </c>
      <c r="AO116" s="573">
        <f>K116+Z116</f>
        <v>10000</v>
      </c>
      <c r="AP116" s="492">
        <f t="shared" si="82"/>
        <v>515478</v>
      </c>
      <c r="AQ116" s="492">
        <f t="shared" si="82"/>
        <v>15151</v>
      </c>
      <c r="AR116" s="492">
        <f t="shared" si="82"/>
        <v>0</v>
      </c>
      <c r="AS116" s="609">
        <f>O116+AL116</f>
        <v>2.3180000000000001</v>
      </c>
    </row>
    <row r="117" spans="1:45" ht="12.95" customHeight="1" x14ac:dyDescent="0.25">
      <c r="A117" s="205">
        <v>27</v>
      </c>
      <c r="B117" s="246">
        <v>5428</v>
      </c>
      <c r="C117" s="247">
        <v>600099059</v>
      </c>
      <c r="D117" s="206">
        <v>70985740</v>
      </c>
      <c r="E117" s="248" t="s">
        <v>389</v>
      </c>
      <c r="F117" s="206">
        <v>3117</v>
      </c>
      <c r="G117" s="248" t="s">
        <v>284</v>
      </c>
      <c r="H117" s="209" t="s">
        <v>263</v>
      </c>
      <c r="I117" s="580">
        <v>609256</v>
      </c>
      <c r="J117" s="490">
        <v>451970</v>
      </c>
      <c r="K117" s="554">
        <v>0</v>
      </c>
      <c r="L117" s="431">
        <v>152766</v>
      </c>
      <c r="M117" s="431">
        <v>4520</v>
      </c>
      <c r="N117" s="325">
        <v>0</v>
      </c>
      <c r="O117" s="719">
        <v>1.1400000000000001</v>
      </c>
      <c r="P117" s="327">
        <f t="shared" si="80"/>
        <v>0</v>
      </c>
      <c r="Q117" s="492">
        <v>0</v>
      </c>
      <c r="R117" s="325">
        <v>0</v>
      </c>
      <c r="S117" s="325">
        <v>0</v>
      </c>
      <c r="T117" s="325">
        <v>0</v>
      </c>
      <c r="U117" s="325">
        <v>0</v>
      </c>
      <c r="V117" s="492">
        <f>P117+Q117+R117+S117+T117+U117</f>
        <v>0</v>
      </c>
      <c r="W117" s="325">
        <v>0</v>
      </c>
      <c r="X117" s="325">
        <v>0</v>
      </c>
      <c r="Y117" s="325">
        <v>0</v>
      </c>
      <c r="Z117" s="492">
        <f>W117+X117+Y117</f>
        <v>0</v>
      </c>
      <c r="AA117" s="492">
        <f>V117+Z117</f>
        <v>0</v>
      </c>
      <c r="AB117" s="494">
        <f>ROUND((V117+Z117)*33.8%,0)</f>
        <v>0</v>
      </c>
      <c r="AC117" s="494">
        <f>ROUND(V117*1%,0)</f>
        <v>0</v>
      </c>
      <c r="AD117" s="492">
        <v>0</v>
      </c>
      <c r="AE117" s="753">
        <f t="shared" si="81"/>
        <v>0</v>
      </c>
      <c r="AF117" s="688">
        <v>0</v>
      </c>
      <c r="AG117" s="491">
        <v>0</v>
      </c>
      <c r="AH117" s="326">
        <v>0</v>
      </c>
      <c r="AI117" s="326">
        <v>0</v>
      </c>
      <c r="AJ117" s="326">
        <v>0</v>
      </c>
      <c r="AK117" s="326">
        <v>0</v>
      </c>
      <c r="AL117" s="609">
        <f>SUM(AF117:AK117)</f>
        <v>0</v>
      </c>
      <c r="AM117" s="676">
        <f>I117+AE117</f>
        <v>609256</v>
      </c>
      <c r="AN117" s="492">
        <f>J117+V117</f>
        <v>451970</v>
      </c>
      <c r="AO117" s="573">
        <f>K117+Z117</f>
        <v>0</v>
      </c>
      <c r="AP117" s="492">
        <f t="shared" si="82"/>
        <v>152766</v>
      </c>
      <c r="AQ117" s="492">
        <f t="shared" si="82"/>
        <v>4520</v>
      </c>
      <c r="AR117" s="492">
        <f t="shared" si="82"/>
        <v>0</v>
      </c>
      <c r="AS117" s="609">
        <f>O117+AL117</f>
        <v>1.1400000000000001</v>
      </c>
    </row>
    <row r="118" spans="1:45" ht="12.95" customHeight="1" x14ac:dyDescent="0.25">
      <c r="A118" s="205">
        <v>27</v>
      </c>
      <c r="B118" s="246">
        <v>5428</v>
      </c>
      <c r="C118" s="247">
        <v>600099059</v>
      </c>
      <c r="D118" s="206">
        <v>70985740</v>
      </c>
      <c r="E118" s="248" t="s">
        <v>389</v>
      </c>
      <c r="F118" s="206">
        <v>3143</v>
      </c>
      <c r="G118" s="248" t="s">
        <v>794</v>
      </c>
      <c r="H118" s="209" t="s">
        <v>262</v>
      </c>
      <c r="I118" s="580">
        <v>624633</v>
      </c>
      <c r="J118" s="490">
        <v>457422</v>
      </c>
      <c r="K118" s="554">
        <v>6000</v>
      </c>
      <c r="L118" s="431">
        <v>156637</v>
      </c>
      <c r="M118" s="431">
        <v>4574</v>
      </c>
      <c r="N118" s="325">
        <v>0</v>
      </c>
      <c r="O118" s="719">
        <v>0.86660000000000004</v>
      </c>
      <c r="P118" s="327">
        <f t="shared" si="80"/>
        <v>-4000</v>
      </c>
      <c r="Q118" s="492">
        <v>0</v>
      </c>
      <c r="R118" s="325">
        <v>0</v>
      </c>
      <c r="S118" s="325">
        <v>0</v>
      </c>
      <c r="T118" s="325">
        <v>0</v>
      </c>
      <c r="U118" s="325">
        <v>0</v>
      </c>
      <c r="V118" s="492">
        <f>P118+Q118+R118+S118+T118+U118</f>
        <v>-4000</v>
      </c>
      <c r="W118" s="325">
        <v>4000</v>
      </c>
      <c r="X118" s="325">
        <v>0</v>
      </c>
      <c r="Y118" s="325">
        <v>0</v>
      </c>
      <c r="Z118" s="492">
        <f>W118+X118+Y118</f>
        <v>4000</v>
      </c>
      <c r="AA118" s="492">
        <f>V118+Z118</f>
        <v>0</v>
      </c>
      <c r="AB118" s="494">
        <f>ROUND((V118+Z118)*33.8%,0)</f>
        <v>0</v>
      </c>
      <c r="AC118" s="494">
        <f>ROUND(V118*1%,0)</f>
        <v>-40</v>
      </c>
      <c r="AD118" s="492">
        <v>0</v>
      </c>
      <c r="AE118" s="753">
        <f t="shared" si="81"/>
        <v>-40</v>
      </c>
      <c r="AF118" s="688">
        <v>0</v>
      </c>
      <c r="AG118" s="491">
        <v>0</v>
      </c>
      <c r="AH118" s="326">
        <v>0</v>
      </c>
      <c r="AI118" s="326">
        <v>0</v>
      </c>
      <c r="AJ118" s="326">
        <v>0</v>
      </c>
      <c r="AK118" s="326">
        <v>0</v>
      </c>
      <c r="AL118" s="609">
        <f>SUM(AF118:AK118)</f>
        <v>0</v>
      </c>
      <c r="AM118" s="676">
        <f>I118+AE118</f>
        <v>624593</v>
      </c>
      <c r="AN118" s="492">
        <f>J118+V118</f>
        <v>453422</v>
      </c>
      <c r="AO118" s="573">
        <f>K118+Z118</f>
        <v>10000</v>
      </c>
      <c r="AP118" s="492">
        <f t="shared" si="82"/>
        <v>156637</v>
      </c>
      <c r="AQ118" s="492">
        <f t="shared" si="82"/>
        <v>4534</v>
      </c>
      <c r="AR118" s="492">
        <f t="shared" si="82"/>
        <v>0</v>
      </c>
      <c r="AS118" s="609">
        <f>O118+AL118</f>
        <v>0.86660000000000004</v>
      </c>
    </row>
    <row r="119" spans="1:45" ht="12.95" customHeight="1" x14ac:dyDescent="0.25">
      <c r="A119" s="249">
        <v>27</v>
      </c>
      <c r="B119" s="250">
        <v>5428</v>
      </c>
      <c r="C119" s="251">
        <v>600099059</v>
      </c>
      <c r="D119" s="250">
        <v>70985740</v>
      </c>
      <c r="E119" s="252" t="s">
        <v>390</v>
      </c>
      <c r="F119" s="216"/>
      <c r="G119" s="254"/>
      <c r="H119" s="217"/>
      <c r="I119" s="668">
        <v>4845949</v>
      </c>
      <c r="J119" s="355">
        <v>3577051</v>
      </c>
      <c r="K119" s="355">
        <v>18000</v>
      </c>
      <c r="L119" s="355">
        <v>1215127</v>
      </c>
      <c r="M119" s="355">
        <v>35771</v>
      </c>
      <c r="N119" s="355">
        <v>0</v>
      </c>
      <c r="O119" s="780">
        <v>6.2600999999999996</v>
      </c>
      <c r="P119" s="668">
        <f t="shared" ref="P119:AS119" si="83">SUM(P115:P118)</f>
        <v>-12000</v>
      </c>
      <c r="Q119" s="355">
        <f t="shared" si="83"/>
        <v>0</v>
      </c>
      <c r="R119" s="355">
        <f t="shared" si="83"/>
        <v>0</v>
      </c>
      <c r="S119" s="355">
        <f t="shared" si="83"/>
        <v>0</v>
      </c>
      <c r="T119" s="355">
        <f t="shared" si="83"/>
        <v>0</v>
      </c>
      <c r="U119" s="355">
        <f t="shared" si="83"/>
        <v>0</v>
      </c>
      <c r="V119" s="355">
        <f t="shared" si="83"/>
        <v>-12000</v>
      </c>
      <c r="W119" s="355">
        <f t="shared" si="83"/>
        <v>12000</v>
      </c>
      <c r="X119" s="355">
        <f t="shared" si="83"/>
        <v>0</v>
      </c>
      <c r="Y119" s="355">
        <f t="shared" si="83"/>
        <v>0</v>
      </c>
      <c r="Z119" s="355">
        <f t="shared" si="83"/>
        <v>12000</v>
      </c>
      <c r="AA119" s="355">
        <f t="shared" si="83"/>
        <v>0</v>
      </c>
      <c r="AB119" s="355">
        <f t="shared" si="83"/>
        <v>0</v>
      </c>
      <c r="AC119" s="355">
        <f t="shared" si="83"/>
        <v>-120</v>
      </c>
      <c r="AD119" s="355">
        <f t="shared" si="83"/>
        <v>0</v>
      </c>
      <c r="AE119" s="665">
        <f t="shared" si="83"/>
        <v>-120</v>
      </c>
      <c r="AF119" s="793">
        <v>0</v>
      </c>
      <c r="AG119" s="356">
        <f t="shared" si="83"/>
        <v>0</v>
      </c>
      <c r="AH119" s="356">
        <f t="shared" si="83"/>
        <v>0</v>
      </c>
      <c r="AI119" s="356">
        <f t="shared" si="83"/>
        <v>0</v>
      </c>
      <c r="AJ119" s="356">
        <f t="shared" si="83"/>
        <v>0</v>
      </c>
      <c r="AK119" s="356">
        <f t="shared" si="83"/>
        <v>0</v>
      </c>
      <c r="AL119" s="253">
        <f t="shared" si="83"/>
        <v>0</v>
      </c>
      <c r="AM119" s="668">
        <f t="shared" si="83"/>
        <v>4845829</v>
      </c>
      <c r="AN119" s="355">
        <f t="shared" si="83"/>
        <v>3565051</v>
      </c>
      <c r="AO119" s="355">
        <f t="shared" si="83"/>
        <v>30000</v>
      </c>
      <c r="AP119" s="355">
        <f t="shared" si="83"/>
        <v>1215127</v>
      </c>
      <c r="AQ119" s="355">
        <f t="shared" si="83"/>
        <v>35651</v>
      </c>
      <c r="AR119" s="355">
        <f t="shared" si="83"/>
        <v>0</v>
      </c>
      <c r="AS119" s="253">
        <f t="shared" si="83"/>
        <v>6.2600999999999996</v>
      </c>
    </row>
    <row r="120" spans="1:45" ht="12.95" customHeight="1" x14ac:dyDescent="0.25">
      <c r="A120" s="205">
        <v>28</v>
      </c>
      <c r="B120" s="246">
        <v>5472</v>
      </c>
      <c r="C120" s="247">
        <v>600098672</v>
      </c>
      <c r="D120" s="206">
        <v>72743565</v>
      </c>
      <c r="E120" s="248" t="s">
        <v>391</v>
      </c>
      <c r="F120" s="206">
        <v>3111</v>
      </c>
      <c r="G120" s="248" t="s">
        <v>290</v>
      </c>
      <c r="H120" s="209" t="s">
        <v>262</v>
      </c>
      <c r="I120" s="610">
        <v>3382483</v>
      </c>
      <c r="J120" s="554">
        <v>2509260</v>
      </c>
      <c r="K120" s="554">
        <v>0</v>
      </c>
      <c r="L120" s="431">
        <v>848130</v>
      </c>
      <c r="M120" s="431">
        <v>25093</v>
      </c>
      <c r="N120" s="325">
        <v>0</v>
      </c>
      <c r="O120" s="718">
        <v>4</v>
      </c>
      <c r="P120" s="327">
        <f>W120*-1</f>
        <v>0</v>
      </c>
      <c r="Q120" s="492">
        <v>0</v>
      </c>
      <c r="R120" s="325">
        <v>0</v>
      </c>
      <c r="S120" s="325">
        <v>0</v>
      </c>
      <c r="T120" s="325">
        <v>0</v>
      </c>
      <c r="U120" s="325">
        <v>0</v>
      </c>
      <c r="V120" s="492">
        <f>P120+Q120+R120+S120+T120+U120</f>
        <v>0</v>
      </c>
      <c r="W120" s="325">
        <v>0</v>
      </c>
      <c r="X120" s="325">
        <v>0</v>
      </c>
      <c r="Y120" s="325">
        <v>0</v>
      </c>
      <c r="Z120" s="492">
        <f>W120+X120+Y120</f>
        <v>0</v>
      </c>
      <c r="AA120" s="492">
        <f>V120+Z120</f>
        <v>0</v>
      </c>
      <c r="AB120" s="494">
        <f>ROUND((V120+Z120)*33.8%,0)</f>
        <v>0</v>
      </c>
      <c r="AC120" s="494">
        <f>ROUND(V120*1%,0)</f>
        <v>0</v>
      </c>
      <c r="AD120" s="492">
        <v>0</v>
      </c>
      <c r="AE120" s="753">
        <f t="shared" ref="AE120:AE121" si="84">AA120+AB120+AC120+AD120</f>
        <v>0</v>
      </c>
      <c r="AF120" s="688">
        <v>0</v>
      </c>
      <c r="AG120" s="491">
        <v>0</v>
      </c>
      <c r="AH120" s="326">
        <v>0</v>
      </c>
      <c r="AI120" s="326">
        <v>0</v>
      </c>
      <c r="AJ120" s="326">
        <v>0</v>
      </c>
      <c r="AK120" s="326">
        <v>0</v>
      </c>
      <c r="AL120" s="609">
        <f>SUM(AF120:AK120)</f>
        <v>0</v>
      </c>
      <c r="AM120" s="676">
        <f>I120+AE120</f>
        <v>3382483</v>
      </c>
      <c r="AN120" s="492">
        <f>J120+V120</f>
        <v>2509260</v>
      </c>
      <c r="AO120" s="573">
        <f>K120+Z120</f>
        <v>0</v>
      </c>
      <c r="AP120" s="492">
        <f t="shared" ref="AP120:AR121" si="85">L120+AB120</f>
        <v>848130</v>
      </c>
      <c r="AQ120" s="492">
        <f t="shared" si="85"/>
        <v>25093</v>
      </c>
      <c r="AR120" s="492">
        <f t="shared" si="85"/>
        <v>0</v>
      </c>
      <c r="AS120" s="609">
        <f>O120+AL120</f>
        <v>4</v>
      </c>
    </row>
    <row r="121" spans="1:45" ht="12.95" customHeight="1" x14ac:dyDescent="0.25">
      <c r="A121" s="205">
        <v>28</v>
      </c>
      <c r="B121" s="246">
        <v>5472</v>
      </c>
      <c r="C121" s="247">
        <v>600098672</v>
      </c>
      <c r="D121" s="206">
        <v>72743565</v>
      </c>
      <c r="E121" s="248" t="s">
        <v>391</v>
      </c>
      <c r="F121" s="206">
        <v>3111</v>
      </c>
      <c r="G121" s="248" t="s">
        <v>284</v>
      </c>
      <c r="H121" s="209" t="s">
        <v>263</v>
      </c>
      <c r="I121" s="580">
        <v>0</v>
      </c>
      <c r="J121" s="490">
        <v>0</v>
      </c>
      <c r="K121" s="554">
        <v>0</v>
      </c>
      <c r="L121" s="431">
        <v>0</v>
      </c>
      <c r="M121" s="431">
        <v>0</v>
      </c>
      <c r="N121" s="325">
        <v>0</v>
      </c>
      <c r="O121" s="719">
        <v>0</v>
      </c>
      <c r="P121" s="327">
        <f>W121*-1</f>
        <v>0</v>
      </c>
      <c r="Q121" s="492">
        <v>0</v>
      </c>
      <c r="R121" s="325">
        <v>0</v>
      </c>
      <c r="S121" s="325">
        <v>0</v>
      </c>
      <c r="T121" s="325">
        <v>0</v>
      </c>
      <c r="U121" s="325">
        <v>0</v>
      </c>
      <c r="V121" s="492">
        <f>P121+Q121+R121+S121+T121+U121</f>
        <v>0</v>
      </c>
      <c r="W121" s="325">
        <v>0</v>
      </c>
      <c r="X121" s="325">
        <v>0</v>
      </c>
      <c r="Y121" s="325">
        <v>0</v>
      </c>
      <c r="Z121" s="492">
        <f>W121+X121+Y121</f>
        <v>0</v>
      </c>
      <c r="AA121" s="492">
        <f>V121+Z121</f>
        <v>0</v>
      </c>
      <c r="AB121" s="494">
        <f>ROUND((V121+Z121)*33.8%,0)</f>
        <v>0</v>
      </c>
      <c r="AC121" s="494">
        <f>ROUND(V121*1%,0)</f>
        <v>0</v>
      </c>
      <c r="AD121" s="492">
        <v>0</v>
      </c>
      <c r="AE121" s="753">
        <f t="shared" si="84"/>
        <v>0</v>
      </c>
      <c r="AF121" s="688">
        <v>0</v>
      </c>
      <c r="AG121" s="491">
        <v>0</v>
      </c>
      <c r="AH121" s="326">
        <v>0</v>
      </c>
      <c r="AI121" s="326">
        <v>0</v>
      </c>
      <c r="AJ121" s="326">
        <v>0</v>
      </c>
      <c r="AK121" s="326">
        <v>0</v>
      </c>
      <c r="AL121" s="609">
        <f>SUM(AF121:AK121)</f>
        <v>0</v>
      </c>
      <c r="AM121" s="676">
        <f>I121+AE121</f>
        <v>0</v>
      </c>
      <c r="AN121" s="492">
        <f>J121+V121</f>
        <v>0</v>
      </c>
      <c r="AO121" s="573">
        <f>K121+Z121</f>
        <v>0</v>
      </c>
      <c r="AP121" s="492">
        <f t="shared" si="85"/>
        <v>0</v>
      </c>
      <c r="AQ121" s="492">
        <f t="shared" si="85"/>
        <v>0</v>
      </c>
      <c r="AR121" s="492">
        <f t="shared" si="85"/>
        <v>0</v>
      </c>
      <c r="AS121" s="609">
        <f>O121+AL121</f>
        <v>0</v>
      </c>
    </row>
    <row r="122" spans="1:45" ht="12.95" customHeight="1" x14ac:dyDescent="0.25">
      <c r="A122" s="249">
        <v>28</v>
      </c>
      <c r="B122" s="250">
        <v>5472</v>
      </c>
      <c r="C122" s="251">
        <v>600098672</v>
      </c>
      <c r="D122" s="250">
        <v>72743565</v>
      </c>
      <c r="E122" s="252" t="s">
        <v>392</v>
      </c>
      <c r="F122" s="216"/>
      <c r="G122" s="254"/>
      <c r="H122" s="217"/>
      <c r="I122" s="670">
        <v>3382483</v>
      </c>
      <c r="J122" s="353">
        <v>2509260</v>
      </c>
      <c r="K122" s="353">
        <v>0</v>
      </c>
      <c r="L122" s="353">
        <v>848130</v>
      </c>
      <c r="M122" s="353">
        <v>25093</v>
      </c>
      <c r="N122" s="353">
        <v>0</v>
      </c>
      <c r="O122" s="781">
        <v>4</v>
      </c>
      <c r="P122" s="670">
        <f t="shared" ref="P122:AS122" si="86">SUM(P120:P121)</f>
        <v>0</v>
      </c>
      <c r="Q122" s="353">
        <f t="shared" si="86"/>
        <v>0</v>
      </c>
      <c r="R122" s="353">
        <f t="shared" si="86"/>
        <v>0</v>
      </c>
      <c r="S122" s="353">
        <f t="shared" si="86"/>
        <v>0</v>
      </c>
      <c r="T122" s="353">
        <f t="shared" si="86"/>
        <v>0</v>
      </c>
      <c r="U122" s="353">
        <f t="shared" si="86"/>
        <v>0</v>
      </c>
      <c r="V122" s="353">
        <f t="shared" si="86"/>
        <v>0</v>
      </c>
      <c r="W122" s="353">
        <f t="shared" si="86"/>
        <v>0</v>
      </c>
      <c r="X122" s="353">
        <f t="shared" si="86"/>
        <v>0</v>
      </c>
      <c r="Y122" s="353">
        <f t="shared" si="86"/>
        <v>0</v>
      </c>
      <c r="Z122" s="353">
        <f t="shared" si="86"/>
        <v>0</v>
      </c>
      <c r="AA122" s="353">
        <f t="shared" si="86"/>
        <v>0</v>
      </c>
      <c r="AB122" s="353">
        <f t="shared" si="86"/>
        <v>0</v>
      </c>
      <c r="AC122" s="353">
        <f t="shared" si="86"/>
        <v>0</v>
      </c>
      <c r="AD122" s="353">
        <f t="shared" si="86"/>
        <v>0</v>
      </c>
      <c r="AE122" s="667">
        <f t="shared" si="86"/>
        <v>0</v>
      </c>
      <c r="AF122" s="794">
        <v>0</v>
      </c>
      <c r="AG122" s="354">
        <f t="shared" si="86"/>
        <v>0</v>
      </c>
      <c r="AH122" s="354">
        <f t="shared" si="86"/>
        <v>0</v>
      </c>
      <c r="AI122" s="354">
        <f t="shared" si="86"/>
        <v>0</v>
      </c>
      <c r="AJ122" s="354">
        <f t="shared" si="86"/>
        <v>0</v>
      </c>
      <c r="AK122" s="354">
        <f t="shared" si="86"/>
        <v>0</v>
      </c>
      <c r="AL122" s="215">
        <f t="shared" si="86"/>
        <v>0</v>
      </c>
      <c r="AM122" s="670">
        <f t="shared" si="86"/>
        <v>3382483</v>
      </c>
      <c r="AN122" s="353">
        <f t="shared" si="86"/>
        <v>2509260</v>
      </c>
      <c r="AO122" s="353">
        <f t="shared" si="86"/>
        <v>0</v>
      </c>
      <c r="AP122" s="353">
        <f t="shared" si="86"/>
        <v>848130</v>
      </c>
      <c r="AQ122" s="353">
        <f t="shared" si="86"/>
        <v>25093</v>
      </c>
      <c r="AR122" s="353">
        <f t="shared" si="86"/>
        <v>0</v>
      </c>
      <c r="AS122" s="215">
        <f t="shared" si="86"/>
        <v>4</v>
      </c>
    </row>
    <row r="123" spans="1:45" ht="12.95" customHeight="1" x14ac:dyDescent="0.25">
      <c r="A123" s="205">
        <v>29</v>
      </c>
      <c r="B123" s="246">
        <v>5471</v>
      </c>
      <c r="C123" s="247">
        <v>600099229</v>
      </c>
      <c r="D123" s="206">
        <v>72743646</v>
      </c>
      <c r="E123" s="248" t="s">
        <v>393</v>
      </c>
      <c r="F123" s="206">
        <v>3113</v>
      </c>
      <c r="G123" s="248" t="s">
        <v>294</v>
      </c>
      <c r="H123" s="209" t="s">
        <v>262</v>
      </c>
      <c r="I123" s="610">
        <v>12389791</v>
      </c>
      <c r="J123" s="554">
        <v>9180520</v>
      </c>
      <c r="K123" s="554">
        <v>10800</v>
      </c>
      <c r="L123" s="431">
        <v>3106666</v>
      </c>
      <c r="M123" s="431">
        <v>91805</v>
      </c>
      <c r="N123" s="325">
        <v>0</v>
      </c>
      <c r="O123" s="718">
        <v>12.818</v>
      </c>
      <c r="P123" s="327">
        <f>W123*-1</f>
        <v>-7200</v>
      </c>
      <c r="Q123" s="492">
        <v>0</v>
      </c>
      <c r="R123" s="325">
        <v>0</v>
      </c>
      <c r="S123" s="325">
        <v>0</v>
      </c>
      <c r="T123" s="325">
        <v>0</v>
      </c>
      <c r="U123" s="325">
        <v>0</v>
      </c>
      <c r="V123" s="492">
        <f>P123+Q123+R123+S123+T123+U123</f>
        <v>-7200</v>
      </c>
      <c r="W123" s="325">
        <v>7200</v>
      </c>
      <c r="X123" s="325">
        <v>0</v>
      </c>
      <c r="Y123" s="325">
        <v>0</v>
      </c>
      <c r="Z123" s="492">
        <f>W123+X123+Y123</f>
        <v>7200</v>
      </c>
      <c r="AA123" s="492">
        <f>V123+Z123</f>
        <v>0</v>
      </c>
      <c r="AB123" s="494">
        <f>ROUND((V123+Z123)*33.8%,0)</f>
        <v>0</v>
      </c>
      <c r="AC123" s="494">
        <f>ROUND(V123*1%,0)</f>
        <v>-72</v>
      </c>
      <c r="AD123" s="492">
        <v>0</v>
      </c>
      <c r="AE123" s="753">
        <f t="shared" ref="AE123:AE125" si="87">AA123+AB123+AC123+AD123</f>
        <v>-72</v>
      </c>
      <c r="AF123" s="688">
        <v>0</v>
      </c>
      <c r="AG123" s="491">
        <v>0</v>
      </c>
      <c r="AH123" s="326">
        <v>0</v>
      </c>
      <c r="AI123" s="326">
        <v>0</v>
      </c>
      <c r="AJ123" s="326">
        <v>0</v>
      </c>
      <c r="AK123" s="326">
        <v>0</v>
      </c>
      <c r="AL123" s="609">
        <f>SUM(AF123:AK123)</f>
        <v>0</v>
      </c>
      <c r="AM123" s="676">
        <f>I123+AE123</f>
        <v>12389719</v>
      </c>
      <c r="AN123" s="492">
        <f>J123+V123</f>
        <v>9173320</v>
      </c>
      <c r="AO123" s="573">
        <f>K123+Z123</f>
        <v>18000</v>
      </c>
      <c r="AP123" s="492">
        <f t="shared" ref="AP123:AR125" si="88">L123+AB123</f>
        <v>3106666</v>
      </c>
      <c r="AQ123" s="492">
        <f t="shared" si="88"/>
        <v>91733</v>
      </c>
      <c r="AR123" s="492">
        <f t="shared" si="88"/>
        <v>0</v>
      </c>
      <c r="AS123" s="609">
        <f>O123+AL123</f>
        <v>12.818</v>
      </c>
    </row>
    <row r="124" spans="1:45" ht="12.95" customHeight="1" x14ac:dyDescent="0.25">
      <c r="A124" s="205">
        <v>29</v>
      </c>
      <c r="B124" s="246">
        <v>5471</v>
      </c>
      <c r="C124" s="247">
        <v>600099229</v>
      </c>
      <c r="D124" s="206">
        <v>72743646</v>
      </c>
      <c r="E124" s="248" t="s">
        <v>393</v>
      </c>
      <c r="F124" s="206">
        <v>3113</v>
      </c>
      <c r="G124" s="248" t="s">
        <v>284</v>
      </c>
      <c r="H124" s="209" t="s">
        <v>263</v>
      </c>
      <c r="I124" s="580">
        <v>888714</v>
      </c>
      <c r="J124" s="490">
        <v>659283</v>
      </c>
      <c r="K124" s="554">
        <v>0</v>
      </c>
      <c r="L124" s="431">
        <v>222838</v>
      </c>
      <c r="M124" s="431">
        <v>6593</v>
      </c>
      <c r="N124" s="325">
        <v>0</v>
      </c>
      <c r="O124" s="719">
        <v>1.63</v>
      </c>
      <c r="P124" s="327">
        <f>W124*-1</f>
        <v>0</v>
      </c>
      <c r="Q124" s="492">
        <v>0</v>
      </c>
      <c r="R124" s="325">
        <v>0</v>
      </c>
      <c r="S124" s="325">
        <v>0</v>
      </c>
      <c r="T124" s="325">
        <v>0</v>
      </c>
      <c r="U124" s="325">
        <v>0</v>
      </c>
      <c r="V124" s="492">
        <f>P124+Q124+R124+S124+T124+U124</f>
        <v>0</v>
      </c>
      <c r="W124" s="325">
        <v>0</v>
      </c>
      <c r="X124" s="325">
        <v>0</v>
      </c>
      <c r="Y124" s="325">
        <v>0</v>
      </c>
      <c r="Z124" s="492">
        <f>W124+X124+Y124</f>
        <v>0</v>
      </c>
      <c r="AA124" s="492">
        <f>V124+Z124</f>
        <v>0</v>
      </c>
      <c r="AB124" s="494">
        <f>ROUND((V124+Z124)*33.8%,0)</f>
        <v>0</v>
      </c>
      <c r="AC124" s="494">
        <f>ROUND(V124*1%,0)</f>
        <v>0</v>
      </c>
      <c r="AD124" s="492">
        <v>0</v>
      </c>
      <c r="AE124" s="753">
        <f t="shared" si="87"/>
        <v>0</v>
      </c>
      <c r="AF124" s="688">
        <v>0</v>
      </c>
      <c r="AG124" s="491">
        <v>0</v>
      </c>
      <c r="AH124" s="326">
        <v>0</v>
      </c>
      <c r="AI124" s="326">
        <v>0</v>
      </c>
      <c r="AJ124" s="326">
        <v>0</v>
      </c>
      <c r="AK124" s="326">
        <v>0</v>
      </c>
      <c r="AL124" s="609">
        <f>SUM(AF124:AK124)</f>
        <v>0</v>
      </c>
      <c r="AM124" s="676">
        <f>I124+AE124</f>
        <v>888714</v>
      </c>
      <c r="AN124" s="492">
        <f>J124+V124</f>
        <v>659283</v>
      </c>
      <c r="AO124" s="573">
        <f>K124+Z124</f>
        <v>0</v>
      </c>
      <c r="AP124" s="492">
        <f t="shared" si="88"/>
        <v>222838</v>
      </c>
      <c r="AQ124" s="492">
        <f t="shared" si="88"/>
        <v>6593</v>
      </c>
      <c r="AR124" s="492">
        <f t="shared" si="88"/>
        <v>0</v>
      </c>
      <c r="AS124" s="609">
        <f>O124+AL124</f>
        <v>1.63</v>
      </c>
    </row>
    <row r="125" spans="1:45" ht="12.95" customHeight="1" x14ac:dyDescent="0.25">
      <c r="A125" s="205">
        <v>29</v>
      </c>
      <c r="B125" s="246">
        <v>5471</v>
      </c>
      <c r="C125" s="247">
        <v>600099229</v>
      </c>
      <c r="D125" s="206">
        <v>72743646</v>
      </c>
      <c r="E125" s="248" t="s">
        <v>393</v>
      </c>
      <c r="F125" s="206">
        <v>3143</v>
      </c>
      <c r="G125" s="248" t="s">
        <v>794</v>
      </c>
      <c r="H125" s="209" t="s">
        <v>262</v>
      </c>
      <c r="I125" s="580">
        <v>929877</v>
      </c>
      <c r="J125" s="490">
        <v>689820</v>
      </c>
      <c r="K125" s="554">
        <v>0</v>
      </c>
      <c r="L125" s="431">
        <v>233159</v>
      </c>
      <c r="M125" s="431">
        <v>6898</v>
      </c>
      <c r="N125" s="325">
        <v>0</v>
      </c>
      <c r="O125" s="719">
        <v>1.3001</v>
      </c>
      <c r="P125" s="327">
        <f>W125*-1</f>
        <v>0</v>
      </c>
      <c r="Q125" s="492">
        <v>0</v>
      </c>
      <c r="R125" s="325">
        <v>0</v>
      </c>
      <c r="S125" s="325">
        <v>0</v>
      </c>
      <c r="T125" s="325">
        <v>0</v>
      </c>
      <c r="U125" s="325">
        <v>0</v>
      </c>
      <c r="V125" s="492">
        <f>P125+Q125+R125+S125+T125+U125</f>
        <v>0</v>
      </c>
      <c r="W125" s="325">
        <v>0</v>
      </c>
      <c r="X125" s="325">
        <v>0</v>
      </c>
      <c r="Y125" s="325">
        <v>0</v>
      </c>
      <c r="Z125" s="492">
        <f>W125+X125+Y125</f>
        <v>0</v>
      </c>
      <c r="AA125" s="492">
        <f>V125+Z125</f>
        <v>0</v>
      </c>
      <c r="AB125" s="494">
        <f>ROUND((V125+Z125)*33.8%,0)</f>
        <v>0</v>
      </c>
      <c r="AC125" s="494">
        <f>ROUND(V125*1%,0)</f>
        <v>0</v>
      </c>
      <c r="AD125" s="492">
        <v>0</v>
      </c>
      <c r="AE125" s="753">
        <f t="shared" si="87"/>
        <v>0</v>
      </c>
      <c r="AF125" s="688">
        <v>0</v>
      </c>
      <c r="AG125" s="491">
        <v>0</v>
      </c>
      <c r="AH125" s="326">
        <v>0</v>
      </c>
      <c r="AI125" s="326">
        <v>0</v>
      </c>
      <c r="AJ125" s="326">
        <v>0</v>
      </c>
      <c r="AK125" s="326">
        <v>0</v>
      </c>
      <c r="AL125" s="609">
        <f>SUM(AF125:AK125)</f>
        <v>0</v>
      </c>
      <c r="AM125" s="676">
        <f>I125+AE125</f>
        <v>929877</v>
      </c>
      <c r="AN125" s="492">
        <f>J125+V125</f>
        <v>689820</v>
      </c>
      <c r="AO125" s="573">
        <f>K125+Z125</f>
        <v>0</v>
      </c>
      <c r="AP125" s="492">
        <f t="shared" si="88"/>
        <v>233159</v>
      </c>
      <c r="AQ125" s="492">
        <f t="shared" si="88"/>
        <v>6898</v>
      </c>
      <c r="AR125" s="492">
        <f t="shared" si="88"/>
        <v>0</v>
      </c>
      <c r="AS125" s="609">
        <f>O125+AL125</f>
        <v>1.3001</v>
      </c>
    </row>
    <row r="126" spans="1:45" ht="12.95" customHeight="1" x14ac:dyDescent="0.25">
      <c r="A126" s="249">
        <v>29</v>
      </c>
      <c r="B126" s="250">
        <v>5471</v>
      </c>
      <c r="C126" s="251">
        <v>600099229</v>
      </c>
      <c r="D126" s="250">
        <v>72743646</v>
      </c>
      <c r="E126" s="252" t="s">
        <v>394</v>
      </c>
      <c r="F126" s="216"/>
      <c r="G126" s="254"/>
      <c r="H126" s="217"/>
      <c r="I126" s="670">
        <v>14208382</v>
      </c>
      <c r="J126" s="353">
        <v>10529623</v>
      </c>
      <c r="K126" s="353">
        <v>10800</v>
      </c>
      <c r="L126" s="353">
        <v>3562663</v>
      </c>
      <c r="M126" s="353">
        <v>105296</v>
      </c>
      <c r="N126" s="353">
        <v>0</v>
      </c>
      <c r="O126" s="781">
        <v>15.748100000000001</v>
      </c>
      <c r="P126" s="670">
        <f t="shared" ref="P126:AS126" si="89">SUM(P123:P125)</f>
        <v>-7200</v>
      </c>
      <c r="Q126" s="353">
        <f t="shared" si="89"/>
        <v>0</v>
      </c>
      <c r="R126" s="353">
        <f t="shared" si="89"/>
        <v>0</v>
      </c>
      <c r="S126" s="353">
        <f t="shared" si="89"/>
        <v>0</v>
      </c>
      <c r="T126" s="353">
        <f t="shared" si="89"/>
        <v>0</v>
      </c>
      <c r="U126" s="353">
        <f t="shared" si="89"/>
        <v>0</v>
      </c>
      <c r="V126" s="353">
        <f t="shared" si="89"/>
        <v>-7200</v>
      </c>
      <c r="W126" s="353">
        <f t="shared" si="89"/>
        <v>7200</v>
      </c>
      <c r="X126" s="353">
        <f t="shared" si="89"/>
        <v>0</v>
      </c>
      <c r="Y126" s="353">
        <f t="shared" si="89"/>
        <v>0</v>
      </c>
      <c r="Z126" s="353">
        <f t="shared" si="89"/>
        <v>7200</v>
      </c>
      <c r="AA126" s="353">
        <f t="shared" si="89"/>
        <v>0</v>
      </c>
      <c r="AB126" s="353">
        <f t="shared" si="89"/>
        <v>0</v>
      </c>
      <c r="AC126" s="353">
        <f t="shared" si="89"/>
        <v>-72</v>
      </c>
      <c r="AD126" s="353">
        <f t="shared" si="89"/>
        <v>0</v>
      </c>
      <c r="AE126" s="667">
        <f t="shared" si="89"/>
        <v>-72</v>
      </c>
      <c r="AF126" s="794">
        <v>0</v>
      </c>
      <c r="AG126" s="354">
        <f t="shared" si="89"/>
        <v>0</v>
      </c>
      <c r="AH126" s="354">
        <f t="shared" si="89"/>
        <v>0</v>
      </c>
      <c r="AI126" s="354">
        <f t="shared" si="89"/>
        <v>0</v>
      </c>
      <c r="AJ126" s="354">
        <f t="shared" si="89"/>
        <v>0</v>
      </c>
      <c r="AK126" s="354">
        <f t="shared" si="89"/>
        <v>0</v>
      </c>
      <c r="AL126" s="215">
        <f t="shared" si="89"/>
        <v>0</v>
      </c>
      <c r="AM126" s="670">
        <f t="shared" si="89"/>
        <v>14208310</v>
      </c>
      <c r="AN126" s="353">
        <f t="shared" si="89"/>
        <v>10522423</v>
      </c>
      <c r="AO126" s="353">
        <f t="shared" si="89"/>
        <v>18000</v>
      </c>
      <c r="AP126" s="353">
        <f t="shared" si="89"/>
        <v>3562663</v>
      </c>
      <c r="AQ126" s="353">
        <f t="shared" si="89"/>
        <v>105224</v>
      </c>
      <c r="AR126" s="353">
        <f t="shared" si="89"/>
        <v>0</v>
      </c>
      <c r="AS126" s="215">
        <f t="shared" si="89"/>
        <v>15.748100000000001</v>
      </c>
    </row>
    <row r="127" spans="1:45" ht="12.95" customHeight="1" x14ac:dyDescent="0.25">
      <c r="A127" s="205">
        <v>30</v>
      </c>
      <c r="B127" s="246">
        <v>5473</v>
      </c>
      <c r="C127" s="247">
        <v>600098583</v>
      </c>
      <c r="D127" s="206">
        <v>75016320</v>
      </c>
      <c r="E127" s="248" t="s">
        <v>395</v>
      </c>
      <c r="F127" s="206">
        <v>3111</v>
      </c>
      <c r="G127" s="248" t="s">
        <v>290</v>
      </c>
      <c r="H127" s="209" t="s">
        <v>262</v>
      </c>
      <c r="I127" s="610">
        <v>2054131</v>
      </c>
      <c r="J127" s="554">
        <v>1523836</v>
      </c>
      <c r="K127" s="554">
        <v>0</v>
      </c>
      <c r="L127" s="431">
        <v>515057</v>
      </c>
      <c r="M127" s="431">
        <v>15238</v>
      </c>
      <c r="N127" s="325">
        <v>0</v>
      </c>
      <c r="O127" s="718">
        <v>2.3704000000000001</v>
      </c>
      <c r="P127" s="327">
        <f>W127*-1</f>
        <v>0</v>
      </c>
      <c r="Q127" s="492">
        <v>0</v>
      </c>
      <c r="R127" s="325">
        <v>0</v>
      </c>
      <c r="S127" s="325">
        <v>0</v>
      </c>
      <c r="T127" s="325">
        <v>0</v>
      </c>
      <c r="U127" s="325">
        <v>0</v>
      </c>
      <c r="V127" s="492">
        <f>P127+Q127+R127+S127+T127+U127</f>
        <v>0</v>
      </c>
      <c r="W127" s="325">
        <v>0</v>
      </c>
      <c r="X127" s="325">
        <v>0</v>
      </c>
      <c r="Y127" s="325">
        <v>0</v>
      </c>
      <c r="Z127" s="492">
        <f>W127+X127+Y127</f>
        <v>0</v>
      </c>
      <c r="AA127" s="492">
        <f>V127+Z127</f>
        <v>0</v>
      </c>
      <c r="AB127" s="494">
        <f>ROUND((V127+Z127)*33.8%,0)</f>
        <v>0</v>
      </c>
      <c r="AC127" s="494">
        <f>ROUND(V127*1%,0)</f>
        <v>0</v>
      </c>
      <c r="AD127" s="492">
        <v>0</v>
      </c>
      <c r="AE127" s="753">
        <f t="shared" ref="AE127:AE128" si="90">AA127+AB127+AC127+AD127</f>
        <v>0</v>
      </c>
      <c r="AF127" s="688">
        <v>0</v>
      </c>
      <c r="AG127" s="491">
        <v>0</v>
      </c>
      <c r="AH127" s="326">
        <v>0</v>
      </c>
      <c r="AI127" s="326">
        <v>0</v>
      </c>
      <c r="AJ127" s="326">
        <v>0</v>
      </c>
      <c r="AK127" s="326">
        <v>0</v>
      </c>
      <c r="AL127" s="609">
        <f>SUM(AF127:AK127)</f>
        <v>0</v>
      </c>
      <c r="AM127" s="676">
        <f>I127+AE127</f>
        <v>2054131</v>
      </c>
      <c r="AN127" s="492">
        <f>J127+V127</f>
        <v>1523836</v>
      </c>
      <c r="AO127" s="573">
        <f>K127+Z127</f>
        <v>0</v>
      </c>
      <c r="AP127" s="492">
        <f t="shared" ref="AP127:AR128" si="91">L127+AB127</f>
        <v>515057</v>
      </c>
      <c r="AQ127" s="492">
        <f t="shared" si="91"/>
        <v>15238</v>
      </c>
      <c r="AR127" s="492">
        <f t="shared" si="91"/>
        <v>0</v>
      </c>
      <c r="AS127" s="609">
        <f>O127+AL127</f>
        <v>2.3704000000000001</v>
      </c>
    </row>
    <row r="128" spans="1:45" ht="12.95" customHeight="1" x14ac:dyDescent="0.25">
      <c r="A128" s="205">
        <v>30</v>
      </c>
      <c r="B128" s="246">
        <v>5473</v>
      </c>
      <c r="C128" s="247">
        <v>600098583</v>
      </c>
      <c r="D128" s="206">
        <v>75016320</v>
      </c>
      <c r="E128" s="248" t="s">
        <v>395</v>
      </c>
      <c r="F128" s="206">
        <v>3111</v>
      </c>
      <c r="G128" s="248" t="s">
        <v>284</v>
      </c>
      <c r="H128" s="209" t="s">
        <v>263</v>
      </c>
      <c r="I128" s="580">
        <v>133738</v>
      </c>
      <c r="J128" s="490">
        <v>99212</v>
      </c>
      <c r="K128" s="554">
        <v>0</v>
      </c>
      <c r="L128" s="431">
        <v>33534</v>
      </c>
      <c r="M128" s="431">
        <v>992</v>
      </c>
      <c r="N128" s="325">
        <v>0</v>
      </c>
      <c r="O128" s="719">
        <v>0.25</v>
      </c>
      <c r="P128" s="327">
        <f>W128*-1</f>
        <v>0</v>
      </c>
      <c r="Q128" s="492">
        <v>0</v>
      </c>
      <c r="R128" s="325">
        <v>0</v>
      </c>
      <c r="S128" s="325">
        <v>0</v>
      </c>
      <c r="T128" s="325">
        <v>0</v>
      </c>
      <c r="U128" s="325">
        <v>0</v>
      </c>
      <c r="V128" s="492">
        <f>P128+Q128+R128+S128+T128+U128</f>
        <v>0</v>
      </c>
      <c r="W128" s="325">
        <v>0</v>
      </c>
      <c r="X128" s="325">
        <v>0</v>
      </c>
      <c r="Y128" s="325">
        <v>0</v>
      </c>
      <c r="Z128" s="492">
        <f>W128+X128+Y128</f>
        <v>0</v>
      </c>
      <c r="AA128" s="492">
        <f>V128+Z128</f>
        <v>0</v>
      </c>
      <c r="AB128" s="494">
        <f>ROUND((V128+Z128)*33.8%,0)</f>
        <v>0</v>
      </c>
      <c r="AC128" s="494">
        <f>ROUND(V128*1%,0)</f>
        <v>0</v>
      </c>
      <c r="AD128" s="492">
        <v>0</v>
      </c>
      <c r="AE128" s="753">
        <f t="shared" si="90"/>
        <v>0</v>
      </c>
      <c r="AF128" s="688">
        <v>0</v>
      </c>
      <c r="AG128" s="491">
        <v>0</v>
      </c>
      <c r="AH128" s="326">
        <v>0</v>
      </c>
      <c r="AI128" s="326">
        <v>0</v>
      </c>
      <c r="AJ128" s="326">
        <v>0</v>
      </c>
      <c r="AK128" s="326">
        <v>0</v>
      </c>
      <c r="AL128" s="609">
        <f>SUM(AF128:AK128)</f>
        <v>0</v>
      </c>
      <c r="AM128" s="676">
        <f>I128+AE128</f>
        <v>133738</v>
      </c>
      <c r="AN128" s="492">
        <f>J128+V128</f>
        <v>99212</v>
      </c>
      <c r="AO128" s="573">
        <f>K128+Z128</f>
        <v>0</v>
      </c>
      <c r="AP128" s="492">
        <f t="shared" si="91"/>
        <v>33534</v>
      </c>
      <c r="AQ128" s="492">
        <f t="shared" si="91"/>
        <v>992</v>
      </c>
      <c r="AR128" s="492">
        <f t="shared" si="91"/>
        <v>0</v>
      </c>
      <c r="AS128" s="609">
        <f>O128+AL128</f>
        <v>0.25</v>
      </c>
    </row>
    <row r="129" spans="1:45" ht="12.95" customHeight="1" thickBot="1" x14ac:dyDescent="0.3">
      <c r="A129" s="260">
        <v>30</v>
      </c>
      <c r="B129" s="261">
        <v>5473</v>
      </c>
      <c r="C129" s="262">
        <v>600098583</v>
      </c>
      <c r="D129" s="261">
        <v>75016320</v>
      </c>
      <c r="E129" s="263" t="s">
        <v>396</v>
      </c>
      <c r="F129" s="220"/>
      <c r="G129" s="264"/>
      <c r="H129" s="221"/>
      <c r="I129" s="784">
        <v>2187869</v>
      </c>
      <c r="J129" s="594">
        <v>1623048</v>
      </c>
      <c r="K129" s="594">
        <v>0</v>
      </c>
      <c r="L129" s="594">
        <v>548591</v>
      </c>
      <c r="M129" s="594">
        <v>16230</v>
      </c>
      <c r="N129" s="376">
        <v>0</v>
      </c>
      <c r="O129" s="785">
        <v>2.6204000000000001</v>
      </c>
      <c r="P129" s="671">
        <f t="shared" ref="P129:AS129" si="92">SUM(P127:P128)</f>
        <v>0</v>
      </c>
      <c r="Q129" s="376">
        <f t="shared" si="92"/>
        <v>0</v>
      </c>
      <c r="R129" s="376">
        <f t="shared" si="92"/>
        <v>0</v>
      </c>
      <c r="S129" s="376">
        <f t="shared" si="92"/>
        <v>0</v>
      </c>
      <c r="T129" s="376">
        <f t="shared" si="92"/>
        <v>0</v>
      </c>
      <c r="U129" s="376">
        <f t="shared" si="92"/>
        <v>0</v>
      </c>
      <c r="V129" s="376">
        <f t="shared" si="92"/>
        <v>0</v>
      </c>
      <c r="W129" s="376">
        <f t="shared" si="92"/>
        <v>0</v>
      </c>
      <c r="X129" s="376">
        <f t="shared" si="92"/>
        <v>0</v>
      </c>
      <c r="Y129" s="376">
        <f t="shared" si="92"/>
        <v>0</v>
      </c>
      <c r="Z129" s="376">
        <f t="shared" si="92"/>
        <v>0</v>
      </c>
      <c r="AA129" s="376">
        <f t="shared" si="92"/>
        <v>0</v>
      </c>
      <c r="AB129" s="376">
        <f t="shared" si="92"/>
        <v>0</v>
      </c>
      <c r="AC129" s="376">
        <f t="shared" si="92"/>
        <v>0</v>
      </c>
      <c r="AD129" s="376">
        <f t="shared" si="92"/>
        <v>0</v>
      </c>
      <c r="AE129" s="790">
        <f t="shared" si="92"/>
        <v>0</v>
      </c>
      <c r="AF129" s="795">
        <v>0</v>
      </c>
      <c r="AG129" s="377">
        <f t="shared" si="92"/>
        <v>0</v>
      </c>
      <c r="AH129" s="377">
        <f t="shared" si="92"/>
        <v>0</v>
      </c>
      <c r="AI129" s="377">
        <f t="shared" si="92"/>
        <v>0</v>
      </c>
      <c r="AJ129" s="377">
        <f t="shared" si="92"/>
        <v>0</v>
      </c>
      <c r="AK129" s="377">
        <f t="shared" si="92"/>
        <v>0</v>
      </c>
      <c r="AL129" s="383">
        <f t="shared" si="92"/>
        <v>0</v>
      </c>
      <c r="AM129" s="671">
        <f t="shared" si="92"/>
        <v>2187869</v>
      </c>
      <c r="AN129" s="376">
        <f t="shared" si="92"/>
        <v>1623048</v>
      </c>
      <c r="AO129" s="376">
        <f t="shared" si="92"/>
        <v>0</v>
      </c>
      <c r="AP129" s="376">
        <f t="shared" si="92"/>
        <v>548591</v>
      </c>
      <c r="AQ129" s="376">
        <f t="shared" si="92"/>
        <v>16230</v>
      </c>
      <c r="AR129" s="376">
        <f t="shared" si="92"/>
        <v>0</v>
      </c>
      <c r="AS129" s="383">
        <f t="shared" si="92"/>
        <v>2.6204000000000001</v>
      </c>
    </row>
    <row r="130" spans="1:45" ht="12.95" customHeight="1" thickBot="1" x14ac:dyDescent="0.3">
      <c r="A130" s="265"/>
      <c r="B130" s="228"/>
      <c r="C130" s="266"/>
      <c r="D130" s="228"/>
      <c r="E130" s="230" t="s">
        <v>733</v>
      </c>
      <c r="F130" s="228"/>
      <c r="G130" s="228"/>
      <c r="H130" s="231"/>
      <c r="I130" s="595">
        <f t="shared" ref="I130:AS130" si="93">I129+I126+I122+I119+I114+I109+I104+I101+I98+I93+I90+I87+I85+I81+I78+I74+I71+I66+I61+I56+I51+I46+I44+I38+I33+I28+I22+I20+I17+I14</f>
        <v>345898932</v>
      </c>
      <c r="J130" s="597">
        <f t="shared" si="93"/>
        <v>255460377</v>
      </c>
      <c r="K130" s="597">
        <f t="shared" si="93"/>
        <v>1149733</v>
      </c>
      <c r="L130" s="597">
        <f t="shared" si="93"/>
        <v>86734220</v>
      </c>
      <c r="M130" s="597">
        <f t="shared" si="93"/>
        <v>2554602</v>
      </c>
      <c r="N130" s="406">
        <f t="shared" si="93"/>
        <v>0</v>
      </c>
      <c r="O130" s="716">
        <f t="shared" si="93"/>
        <v>401.62900000000002</v>
      </c>
      <c r="P130" s="416">
        <f t="shared" si="93"/>
        <v>-494800</v>
      </c>
      <c r="Q130" s="406">
        <f t="shared" si="93"/>
        <v>389873</v>
      </c>
      <c r="R130" s="406">
        <f t="shared" si="93"/>
        <v>0</v>
      </c>
      <c r="S130" s="406">
        <f t="shared" si="93"/>
        <v>0</v>
      </c>
      <c r="T130" s="406">
        <f t="shared" si="93"/>
        <v>0</v>
      </c>
      <c r="U130" s="406">
        <f t="shared" si="93"/>
        <v>0</v>
      </c>
      <c r="V130" s="406">
        <f t="shared" si="93"/>
        <v>-104927</v>
      </c>
      <c r="W130" s="406">
        <f t="shared" si="93"/>
        <v>494800</v>
      </c>
      <c r="X130" s="406">
        <f t="shared" si="93"/>
        <v>0</v>
      </c>
      <c r="Y130" s="406">
        <f t="shared" si="93"/>
        <v>116001</v>
      </c>
      <c r="Z130" s="406">
        <f t="shared" si="93"/>
        <v>610801</v>
      </c>
      <c r="AA130" s="406">
        <f t="shared" si="93"/>
        <v>505874</v>
      </c>
      <c r="AB130" s="406">
        <f t="shared" si="93"/>
        <v>170984</v>
      </c>
      <c r="AC130" s="406">
        <f t="shared" si="93"/>
        <v>-1049</v>
      </c>
      <c r="AD130" s="406">
        <f t="shared" si="93"/>
        <v>0</v>
      </c>
      <c r="AE130" s="791">
        <f t="shared" si="93"/>
        <v>675809</v>
      </c>
      <c r="AF130" s="796">
        <f t="shared" si="93"/>
        <v>-0.42000000000000004</v>
      </c>
      <c r="AG130" s="411">
        <f t="shared" si="93"/>
        <v>0.92999999999999994</v>
      </c>
      <c r="AH130" s="411">
        <f t="shared" si="93"/>
        <v>0</v>
      </c>
      <c r="AI130" s="411">
        <f t="shared" si="93"/>
        <v>0</v>
      </c>
      <c r="AJ130" s="411">
        <f t="shared" si="93"/>
        <v>0</v>
      </c>
      <c r="AK130" s="411">
        <f t="shared" si="93"/>
        <v>0</v>
      </c>
      <c r="AL130" s="797">
        <f>AL129+AL126+AL122+AL119+AL114+AL109+AL104+AL101+AL98+AL93+AL90+AL87+AL85+AL81+AL78+AL74+AL71+AL66+AL61+AL56+AL51+AL46+AL44+AL38+AL33+AL28+AL22+AL20+AL17+AL14</f>
        <v>0.51</v>
      </c>
      <c r="AM130" s="416">
        <f t="shared" si="93"/>
        <v>346574741</v>
      </c>
      <c r="AN130" s="406">
        <f t="shared" si="93"/>
        <v>255355450</v>
      </c>
      <c r="AO130" s="406">
        <f t="shared" si="93"/>
        <v>1760534</v>
      </c>
      <c r="AP130" s="406">
        <f t="shared" si="93"/>
        <v>86905204</v>
      </c>
      <c r="AQ130" s="406">
        <f t="shared" si="93"/>
        <v>2553553</v>
      </c>
      <c r="AR130" s="406">
        <f t="shared" si="93"/>
        <v>0</v>
      </c>
      <c r="AS130" s="797">
        <f t="shared" si="93"/>
        <v>402.13900000000001</v>
      </c>
    </row>
    <row r="131" spans="1:45" ht="12.95" customHeight="1" x14ac:dyDescent="0.25">
      <c r="B131" s="234"/>
      <c r="D131" s="234"/>
      <c r="E131" s="235"/>
      <c r="F131" s="234"/>
      <c r="I131" s="328">
        <f>SUM(J130:N130)</f>
        <v>345898932</v>
      </c>
      <c r="J131" s="328"/>
      <c r="K131" s="328"/>
      <c r="L131" s="328"/>
      <c r="M131" s="328"/>
      <c r="N131" s="328"/>
      <c r="O131" s="709"/>
      <c r="P131" s="328">
        <f>W130</f>
        <v>494800</v>
      </c>
      <c r="Q131" s="329"/>
      <c r="R131" s="329"/>
      <c r="S131" s="329"/>
      <c r="T131" s="328"/>
      <c r="U131" s="329"/>
      <c r="V131" s="330">
        <f>SUM(P130:U130)</f>
        <v>-104927</v>
      </c>
      <c r="W131" s="330">
        <f>P130</f>
        <v>-494800</v>
      </c>
      <c r="X131" s="331"/>
      <c r="Y131" s="331"/>
      <c r="Z131" s="330">
        <f>SUM(W130:Y130)</f>
        <v>610801</v>
      </c>
      <c r="AA131" s="330">
        <f>V130+Z130</f>
        <v>505874</v>
      </c>
      <c r="AB131" s="332"/>
      <c r="AC131" s="332"/>
      <c r="AD131" s="330"/>
      <c r="AE131" s="330">
        <f>SUM(AA130:AD130)</f>
        <v>675809</v>
      </c>
      <c r="AF131" s="333"/>
      <c r="AG131" s="333"/>
      <c r="AH131" s="333"/>
      <c r="AI131" s="333"/>
      <c r="AJ131" s="381"/>
      <c r="AK131" s="333"/>
      <c r="AL131" s="381">
        <f>SUM(AF130:AK130)</f>
        <v>0.5099999999999999</v>
      </c>
      <c r="AM131" s="328">
        <f>SUM(AN130:AR130)</f>
        <v>346574741</v>
      </c>
      <c r="AN131" s="328"/>
      <c r="AO131" s="58"/>
      <c r="AP131" s="330"/>
      <c r="AQ131" s="330"/>
      <c r="AR131" s="330">
        <f>N130+AD130</f>
        <v>0</v>
      </c>
      <c r="AS131" s="329"/>
    </row>
    <row r="132" spans="1:45" ht="12.95" customHeight="1" thickBot="1" x14ac:dyDescent="0.3">
      <c r="B132" s="234"/>
      <c r="D132" s="234"/>
      <c r="F132" s="234"/>
      <c r="I132" s="328">
        <f>SUM(J133:N133)</f>
        <v>345898932</v>
      </c>
      <c r="J132" s="328"/>
      <c r="K132" s="328"/>
      <c r="L132" s="328"/>
      <c r="M132" s="328"/>
      <c r="N132" s="328"/>
      <c r="O132" s="709"/>
      <c r="P132" s="328">
        <f>W133</f>
        <v>494800</v>
      </c>
      <c r="Q132" s="329"/>
      <c r="R132" s="329"/>
      <c r="S132" s="329"/>
      <c r="T132" s="328"/>
      <c r="U132" s="329"/>
      <c r="V132" s="330">
        <f>SUM(P133:U133)</f>
        <v>-104927</v>
      </c>
      <c r="W132" s="330"/>
      <c r="X132" s="331"/>
      <c r="Y132" s="331"/>
      <c r="Z132" s="330">
        <f>SUM(W133:Y133)</f>
        <v>610801</v>
      </c>
      <c r="AA132" s="330">
        <f>V133+Z133</f>
        <v>505874</v>
      </c>
      <c r="AB132" s="332"/>
      <c r="AC132" s="332"/>
      <c r="AD132" s="330"/>
      <c r="AE132" s="330">
        <f>SUM(AA133:AD133)</f>
        <v>675809</v>
      </c>
      <c r="AF132" s="333"/>
      <c r="AG132" s="333"/>
      <c r="AH132" s="333"/>
      <c r="AI132" s="333"/>
      <c r="AJ132" s="381"/>
      <c r="AK132" s="333"/>
      <c r="AL132" s="381">
        <f>SUM(AF133:AK133)</f>
        <v>0.51</v>
      </c>
      <c r="AM132" s="328">
        <f>AN133+AO133+AP133+AQ133+AR133</f>
        <v>346574741</v>
      </c>
      <c r="AN132" s="328"/>
      <c r="AO132" s="58"/>
      <c r="AP132" s="48"/>
      <c r="AQ132" s="48"/>
      <c r="AR132" s="48"/>
      <c r="AS132" s="329"/>
    </row>
    <row r="133" spans="1:45" s="60" customFormat="1" ht="12.95" customHeight="1" thickBot="1" x14ac:dyDescent="0.3">
      <c r="D133" s="236"/>
      <c r="E133" s="237"/>
      <c r="F133" s="236"/>
      <c r="G133" s="238"/>
      <c r="H133" s="19" t="s">
        <v>0</v>
      </c>
      <c r="I133" s="96">
        <f t="shared" ref="I133:AS133" si="94">SUM(I134:I143)</f>
        <v>345898932</v>
      </c>
      <c r="J133" s="31">
        <f t="shared" si="94"/>
        <v>255460377</v>
      </c>
      <c r="K133" s="31">
        <f t="shared" si="94"/>
        <v>1149733</v>
      </c>
      <c r="L133" s="31">
        <f t="shared" si="94"/>
        <v>86734220</v>
      </c>
      <c r="M133" s="31">
        <f t="shared" si="94"/>
        <v>2554602</v>
      </c>
      <c r="N133" s="31">
        <f t="shared" si="94"/>
        <v>0</v>
      </c>
      <c r="O133" s="673">
        <f t="shared" si="94"/>
        <v>401.62900000000002</v>
      </c>
      <c r="P133" s="101">
        <f t="shared" si="94"/>
        <v>-494800</v>
      </c>
      <c r="Q133" s="31">
        <f t="shared" si="94"/>
        <v>389873</v>
      </c>
      <c r="R133" s="31">
        <f t="shared" si="94"/>
        <v>0</v>
      </c>
      <c r="S133" s="31">
        <f t="shared" si="94"/>
        <v>0</v>
      </c>
      <c r="T133" s="31">
        <f t="shared" si="94"/>
        <v>0</v>
      </c>
      <c r="U133" s="31">
        <f t="shared" si="94"/>
        <v>0</v>
      </c>
      <c r="V133" s="31">
        <f t="shared" si="94"/>
        <v>-104927</v>
      </c>
      <c r="W133" s="31">
        <f t="shared" si="94"/>
        <v>494800</v>
      </c>
      <c r="X133" s="31">
        <f t="shared" si="94"/>
        <v>0</v>
      </c>
      <c r="Y133" s="31">
        <f t="shared" si="94"/>
        <v>116001</v>
      </c>
      <c r="Z133" s="31">
        <f t="shared" si="94"/>
        <v>610801</v>
      </c>
      <c r="AA133" s="31">
        <f t="shared" si="94"/>
        <v>505874</v>
      </c>
      <c r="AB133" s="31">
        <f t="shared" si="94"/>
        <v>170984</v>
      </c>
      <c r="AC133" s="31">
        <f t="shared" si="94"/>
        <v>-1049</v>
      </c>
      <c r="AD133" s="31">
        <f t="shared" si="94"/>
        <v>0</v>
      </c>
      <c r="AE133" s="624">
        <f t="shared" si="94"/>
        <v>675809</v>
      </c>
      <c r="AF133" s="628">
        <f t="shared" si="94"/>
        <v>-0.42000000000000004</v>
      </c>
      <c r="AG133" s="32">
        <f t="shared" si="94"/>
        <v>0.93</v>
      </c>
      <c r="AH133" s="32">
        <f t="shared" si="94"/>
        <v>0</v>
      </c>
      <c r="AI133" s="32">
        <f t="shared" si="94"/>
        <v>0</v>
      </c>
      <c r="AJ133" s="32">
        <f t="shared" si="94"/>
        <v>0</v>
      </c>
      <c r="AK133" s="32">
        <f t="shared" si="94"/>
        <v>0</v>
      </c>
      <c r="AL133" s="629">
        <f t="shared" si="94"/>
        <v>0.51000000000000012</v>
      </c>
      <c r="AM133" s="96">
        <f t="shared" si="94"/>
        <v>346574741</v>
      </c>
      <c r="AN133" s="31">
        <f t="shared" si="94"/>
        <v>255355450</v>
      </c>
      <c r="AO133" s="31">
        <f t="shared" si="94"/>
        <v>1760534</v>
      </c>
      <c r="AP133" s="31">
        <f t="shared" si="94"/>
        <v>86905204</v>
      </c>
      <c r="AQ133" s="31">
        <f t="shared" si="94"/>
        <v>2553553</v>
      </c>
      <c r="AR133" s="31">
        <f t="shared" si="94"/>
        <v>0</v>
      </c>
      <c r="AS133" s="629">
        <f t="shared" si="94"/>
        <v>402.13900000000001</v>
      </c>
    </row>
    <row r="134" spans="1:45" s="60" customFormat="1" ht="12.95" customHeight="1" x14ac:dyDescent="0.25">
      <c r="D134" s="236"/>
      <c r="E134" s="237"/>
      <c r="F134" s="236"/>
      <c r="G134" s="238"/>
      <c r="H134" s="1">
        <v>3111</v>
      </c>
      <c r="I134" s="370">
        <f t="shared" ref="I134:AS134" si="95">SUMIF($F$12:$F$401,"=3111",I$12:I$401)</f>
        <v>71726363</v>
      </c>
      <c r="J134" s="371">
        <f t="shared" si="95"/>
        <v>53168969</v>
      </c>
      <c r="K134" s="371">
        <f t="shared" si="95"/>
        <v>40800</v>
      </c>
      <c r="L134" s="371">
        <f t="shared" si="95"/>
        <v>17984904</v>
      </c>
      <c r="M134" s="371">
        <f t="shared" si="95"/>
        <v>531690</v>
      </c>
      <c r="N134" s="371">
        <f t="shared" si="95"/>
        <v>0</v>
      </c>
      <c r="O134" s="786">
        <f t="shared" si="95"/>
        <v>91.36460000000001</v>
      </c>
      <c r="P134" s="372">
        <f t="shared" si="95"/>
        <v>-27200</v>
      </c>
      <c r="Q134" s="371">
        <f t="shared" si="95"/>
        <v>0</v>
      </c>
      <c r="R134" s="371">
        <f t="shared" si="95"/>
        <v>0</v>
      </c>
      <c r="S134" s="371">
        <f t="shared" si="95"/>
        <v>0</v>
      </c>
      <c r="T134" s="371">
        <f t="shared" si="95"/>
        <v>0</v>
      </c>
      <c r="U134" s="371">
        <f t="shared" si="95"/>
        <v>0</v>
      </c>
      <c r="V134" s="371">
        <f t="shared" si="95"/>
        <v>-27200</v>
      </c>
      <c r="W134" s="371">
        <f t="shared" si="95"/>
        <v>27200</v>
      </c>
      <c r="X134" s="371">
        <f t="shared" si="95"/>
        <v>0</v>
      </c>
      <c r="Y134" s="371">
        <f t="shared" si="95"/>
        <v>0</v>
      </c>
      <c r="Z134" s="371">
        <f t="shared" si="95"/>
        <v>27200</v>
      </c>
      <c r="AA134" s="371">
        <f t="shared" si="95"/>
        <v>0</v>
      </c>
      <c r="AB134" s="371">
        <f t="shared" si="95"/>
        <v>0</v>
      </c>
      <c r="AC134" s="371">
        <f t="shared" si="95"/>
        <v>-272</v>
      </c>
      <c r="AD134" s="371">
        <f t="shared" si="95"/>
        <v>0</v>
      </c>
      <c r="AE134" s="625">
        <f t="shared" si="95"/>
        <v>-272</v>
      </c>
      <c r="AF134" s="630">
        <f t="shared" si="95"/>
        <v>0</v>
      </c>
      <c r="AG134" s="373">
        <f t="shared" si="95"/>
        <v>0</v>
      </c>
      <c r="AH134" s="373">
        <f t="shared" si="95"/>
        <v>0</v>
      </c>
      <c r="AI134" s="373">
        <f t="shared" si="95"/>
        <v>0</v>
      </c>
      <c r="AJ134" s="373">
        <f t="shared" si="95"/>
        <v>0</v>
      </c>
      <c r="AK134" s="373">
        <f t="shared" si="95"/>
        <v>0</v>
      </c>
      <c r="AL134" s="631">
        <f t="shared" si="95"/>
        <v>0</v>
      </c>
      <c r="AM134" s="370">
        <f t="shared" si="95"/>
        <v>71726091</v>
      </c>
      <c r="AN134" s="371">
        <f t="shared" si="95"/>
        <v>53141769</v>
      </c>
      <c r="AO134" s="371">
        <f t="shared" si="95"/>
        <v>68000</v>
      </c>
      <c r="AP134" s="371">
        <f t="shared" si="95"/>
        <v>17984904</v>
      </c>
      <c r="AQ134" s="371">
        <f t="shared" si="95"/>
        <v>531418</v>
      </c>
      <c r="AR134" s="371">
        <f t="shared" si="95"/>
        <v>0</v>
      </c>
      <c r="AS134" s="631">
        <f t="shared" si="95"/>
        <v>91.36460000000001</v>
      </c>
    </row>
    <row r="135" spans="1:45" s="60" customFormat="1" ht="12.95" customHeight="1" x14ac:dyDescent="0.25">
      <c r="D135" s="236"/>
      <c r="E135" s="237"/>
      <c r="F135" s="236"/>
      <c r="G135" s="238"/>
      <c r="H135" s="2">
        <v>3113</v>
      </c>
      <c r="I135" s="119">
        <f t="shared" ref="I135:AS135" si="96">SUMIF($F$12:$F$401,"=3113",I$12:I$401)</f>
        <v>153626503</v>
      </c>
      <c r="J135" s="14">
        <f t="shared" si="96"/>
        <v>113530513</v>
      </c>
      <c r="K135" s="14">
        <f t="shared" si="96"/>
        <v>438994</v>
      </c>
      <c r="L135" s="14">
        <f t="shared" si="96"/>
        <v>38521691</v>
      </c>
      <c r="M135" s="14">
        <f t="shared" si="96"/>
        <v>1135305</v>
      </c>
      <c r="N135" s="14">
        <f t="shared" si="96"/>
        <v>0</v>
      </c>
      <c r="O135" s="787">
        <f t="shared" si="96"/>
        <v>170.27180000000001</v>
      </c>
      <c r="P135" s="120">
        <f t="shared" si="96"/>
        <v>-222800</v>
      </c>
      <c r="Q135" s="14">
        <f t="shared" si="96"/>
        <v>295596</v>
      </c>
      <c r="R135" s="14">
        <f t="shared" si="96"/>
        <v>0</v>
      </c>
      <c r="S135" s="14">
        <f t="shared" si="96"/>
        <v>0</v>
      </c>
      <c r="T135" s="14">
        <f t="shared" si="96"/>
        <v>0</v>
      </c>
      <c r="U135" s="14">
        <f t="shared" si="96"/>
        <v>0</v>
      </c>
      <c r="V135" s="14">
        <f t="shared" si="96"/>
        <v>72796</v>
      </c>
      <c r="W135" s="14">
        <f t="shared" si="96"/>
        <v>222800</v>
      </c>
      <c r="X135" s="14">
        <f t="shared" si="96"/>
        <v>0</v>
      </c>
      <c r="Y135" s="14">
        <f t="shared" si="96"/>
        <v>116001</v>
      </c>
      <c r="Z135" s="14">
        <f t="shared" si="96"/>
        <v>338801</v>
      </c>
      <c r="AA135" s="14">
        <f t="shared" si="96"/>
        <v>411597</v>
      </c>
      <c r="AB135" s="14">
        <f t="shared" si="96"/>
        <v>139119</v>
      </c>
      <c r="AC135" s="14">
        <f t="shared" si="96"/>
        <v>728</v>
      </c>
      <c r="AD135" s="14">
        <f t="shared" si="96"/>
        <v>0</v>
      </c>
      <c r="AE135" s="626">
        <f t="shared" si="96"/>
        <v>551444</v>
      </c>
      <c r="AF135" s="632">
        <f t="shared" si="96"/>
        <v>-0.24000000000000002</v>
      </c>
      <c r="AG135" s="11">
        <f t="shared" si="96"/>
        <v>0.70000000000000007</v>
      </c>
      <c r="AH135" s="11">
        <f t="shared" si="96"/>
        <v>0</v>
      </c>
      <c r="AI135" s="11">
        <f t="shared" si="96"/>
        <v>0</v>
      </c>
      <c r="AJ135" s="11">
        <f t="shared" si="96"/>
        <v>0</v>
      </c>
      <c r="AK135" s="11">
        <f t="shared" si="96"/>
        <v>0</v>
      </c>
      <c r="AL135" s="633">
        <f t="shared" si="96"/>
        <v>0.46</v>
      </c>
      <c r="AM135" s="119">
        <f t="shared" si="96"/>
        <v>154177947</v>
      </c>
      <c r="AN135" s="14">
        <f t="shared" si="96"/>
        <v>113603309</v>
      </c>
      <c r="AO135" s="14">
        <f t="shared" si="96"/>
        <v>777795</v>
      </c>
      <c r="AP135" s="14">
        <f t="shared" si="96"/>
        <v>38660810</v>
      </c>
      <c r="AQ135" s="14">
        <f t="shared" si="96"/>
        <v>1136033</v>
      </c>
      <c r="AR135" s="14">
        <f t="shared" si="96"/>
        <v>0</v>
      </c>
      <c r="AS135" s="633">
        <f t="shared" si="96"/>
        <v>170.73180000000002</v>
      </c>
    </row>
    <row r="136" spans="1:45" s="60" customFormat="1" ht="12.95" customHeight="1" x14ac:dyDescent="0.25">
      <c r="D136" s="236"/>
      <c r="E136" s="237"/>
      <c r="F136" s="236"/>
      <c r="G136" s="238"/>
      <c r="H136" s="2">
        <v>3114</v>
      </c>
      <c r="I136" s="119">
        <f t="shared" ref="I136:AS136" si="97">SUMIF($F$12:$F$401,"=3114",I$12:I$401)</f>
        <v>22471859</v>
      </c>
      <c r="J136" s="14">
        <f t="shared" si="97"/>
        <v>16610964</v>
      </c>
      <c r="K136" s="14">
        <f t="shared" si="97"/>
        <v>60000</v>
      </c>
      <c r="L136" s="14">
        <f t="shared" si="97"/>
        <v>5634785</v>
      </c>
      <c r="M136" s="14">
        <f t="shared" si="97"/>
        <v>166110</v>
      </c>
      <c r="N136" s="14">
        <f t="shared" si="97"/>
        <v>0</v>
      </c>
      <c r="O136" s="787">
        <f t="shared" si="97"/>
        <v>22.636599999999998</v>
      </c>
      <c r="P136" s="120">
        <f t="shared" si="97"/>
        <v>-40000</v>
      </c>
      <c r="Q136" s="14">
        <f t="shared" si="97"/>
        <v>0</v>
      </c>
      <c r="R136" s="14">
        <f t="shared" si="97"/>
        <v>0</v>
      </c>
      <c r="S136" s="14">
        <f t="shared" si="97"/>
        <v>0</v>
      </c>
      <c r="T136" s="14">
        <f t="shared" si="97"/>
        <v>0</v>
      </c>
      <c r="U136" s="14">
        <f t="shared" si="97"/>
        <v>0</v>
      </c>
      <c r="V136" s="14">
        <f t="shared" si="97"/>
        <v>-40000</v>
      </c>
      <c r="W136" s="14">
        <f t="shared" si="97"/>
        <v>40000</v>
      </c>
      <c r="X136" s="14">
        <f t="shared" si="97"/>
        <v>0</v>
      </c>
      <c r="Y136" s="14">
        <f t="shared" si="97"/>
        <v>0</v>
      </c>
      <c r="Z136" s="14">
        <f t="shared" si="97"/>
        <v>40000</v>
      </c>
      <c r="AA136" s="14">
        <f t="shared" si="97"/>
        <v>0</v>
      </c>
      <c r="AB136" s="14">
        <f t="shared" si="97"/>
        <v>0</v>
      </c>
      <c r="AC136" s="14">
        <f t="shared" si="97"/>
        <v>-400</v>
      </c>
      <c r="AD136" s="14">
        <f t="shared" si="97"/>
        <v>0</v>
      </c>
      <c r="AE136" s="626">
        <f t="shared" si="97"/>
        <v>-400</v>
      </c>
      <c r="AF136" s="632">
        <f t="shared" si="97"/>
        <v>-0.03</v>
      </c>
      <c r="AG136" s="11">
        <f t="shared" si="97"/>
        <v>0</v>
      </c>
      <c r="AH136" s="11">
        <f t="shared" si="97"/>
        <v>0</v>
      </c>
      <c r="AI136" s="11">
        <f t="shared" si="97"/>
        <v>0</v>
      </c>
      <c r="AJ136" s="11">
        <f t="shared" si="97"/>
        <v>0</v>
      </c>
      <c r="AK136" s="11">
        <f t="shared" si="97"/>
        <v>0</v>
      </c>
      <c r="AL136" s="633">
        <f t="shared" si="97"/>
        <v>-0.03</v>
      </c>
      <c r="AM136" s="119">
        <f t="shared" si="97"/>
        <v>22471459</v>
      </c>
      <c r="AN136" s="14">
        <f t="shared" si="97"/>
        <v>16570964</v>
      </c>
      <c r="AO136" s="14">
        <f t="shared" si="97"/>
        <v>100000</v>
      </c>
      <c r="AP136" s="14">
        <f t="shared" si="97"/>
        <v>5634785</v>
      </c>
      <c r="AQ136" s="14">
        <f t="shared" si="97"/>
        <v>165710</v>
      </c>
      <c r="AR136" s="14">
        <f t="shared" si="97"/>
        <v>0</v>
      </c>
      <c r="AS136" s="633">
        <f t="shared" si="97"/>
        <v>22.6066</v>
      </c>
    </row>
    <row r="137" spans="1:45" s="60" customFormat="1" ht="12.95" customHeight="1" x14ac:dyDescent="0.25">
      <c r="D137" s="236"/>
      <c r="E137" s="237"/>
      <c r="F137" s="236"/>
      <c r="G137" s="238"/>
      <c r="H137" s="2">
        <v>3117</v>
      </c>
      <c r="I137" s="119">
        <f t="shared" ref="I137:AS137" si="98">SUMIF($F$12:$F$401,"=3117",I$12:I$401)</f>
        <v>29920842</v>
      </c>
      <c r="J137" s="14">
        <f t="shared" si="98"/>
        <v>22115477</v>
      </c>
      <c r="K137" s="14">
        <f t="shared" si="98"/>
        <v>81600</v>
      </c>
      <c r="L137" s="14">
        <f t="shared" si="98"/>
        <v>7502612</v>
      </c>
      <c r="M137" s="14">
        <f t="shared" si="98"/>
        <v>221153</v>
      </c>
      <c r="N137" s="14">
        <f t="shared" si="98"/>
        <v>0</v>
      </c>
      <c r="O137" s="787">
        <f t="shared" si="98"/>
        <v>38.0747</v>
      </c>
      <c r="P137" s="120">
        <f t="shared" si="98"/>
        <v>-54400</v>
      </c>
      <c r="Q137" s="14">
        <f t="shared" si="98"/>
        <v>94277</v>
      </c>
      <c r="R137" s="14">
        <f t="shared" si="98"/>
        <v>0</v>
      </c>
      <c r="S137" s="14">
        <f t="shared" si="98"/>
        <v>0</v>
      </c>
      <c r="T137" s="14">
        <f t="shared" si="98"/>
        <v>0</v>
      </c>
      <c r="U137" s="14">
        <f t="shared" si="98"/>
        <v>0</v>
      </c>
      <c r="V137" s="14">
        <f t="shared" si="98"/>
        <v>39877</v>
      </c>
      <c r="W137" s="14">
        <f t="shared" si="98"/>
        <v>54400</v>
      </c>
      <c r="X137" s="14">
        <f t="shared" si="98"/>
        <v>0</v>
      </c>
      <c r="Y137" s="14">
        <f t="shared" si="98"/>
        <v>0</v>
      </c>
      <c r="Z137" s="14">
        <f t="shared" si="98"/>
        <v>54400</v>
      </c>
      <c r="AA137" s="14">
        <f t="shared" si="98"/>
        <v>94277</v>
      </c>
      <c r="AB137" s="14">
        <f t="shared" si="98"/>
        <v>31865</v>
      </c>
      <c r="AC137" s="14">
        <f t="shared" si="98"/>
        <v>399</v>
      </c>
      <c r="AD137" s="14">
        <f t="shared" si="98"/>
        <v>0</v>
      </c>
      <c r="AE137" s="626">
        <f t="shared" si="98"/>
        <v>126541</v>
      </c>
      <c r="AF137" s="632">
        <f t="shared" si="98"/>
        <v>-2.9999999999999995E-2</v>
      </c>
      <c r="AG137" s="11">
        <f t="shared" si="98"/>
        <v>0.23</v>
      </c>
      <c r="AH137" s="11">
        <f t="shared" si="98"/>
        <v>0</v>
      </c>
      <c r="AI137" s="11">
        <f t="shared" si="98"/>
        <v>0</v>
      </c>
      <c r="AJ137" s="11">
        <f t="shared" si="98"/>
        <v>0</v>
      </c>
      <c r="AK137" s="11">
        <f t="shared" si="98"/>
        <v>0</v>
      </c>
      <c r="AL137" s="633">
        <f t="shared" si="98"/>
        <v>0.2</v>
      </c>
      <c r="AM137" s="119">
        <f t="shared" si="98"/>
        <v>30047383</v>
      </c>
      <c r="AN137" s="14">
        <f t="shared" si="98"/>
        <v>22155354</v>
      </c>
      <c r="AO137" s="14">
        <f t="shared" si="98"/>
        <v>136000</v>
      </c>
      <c r="AP137" s="14">
        <f t="shared" si="98"/>
        <v>7534477</v>
      </c>
      <c r="AQ137" s="14">
        <f t="shared" si="98"/>
        <v>221552</v>
      </c>
      <c r="AR137" s="14">
        <f t="shared" si="98"/>
        <v>0</v>
      </c>
      <c r="AS137" s="633">
        <f t="shared" si="98"/>
        <v>38.274700000000003</v>
      </c>
    </row>
    <row r="138" spans="1:45" s="60" customFormat="1" ht="12.95" customHeight="1" x14ac:dyDescent="0.25">
      <c r="D138" s="236"/>
      <c r="E138" s="237"/>
      <c r="F138" s="236"/>
      <c r="G138" s="238"/>
      <c r="H138" s="2">
        <v>3122</v>
      </c>
      <c r="I138" s="119">
        <f t="shared" ref="I138:AS138" si="99">SUMIF($F$12:$F$401,"=3122",I$12:I$401)</f>
        <v>10112363</v>
      </c>
      <c r="J138" s="14">
        <f t="shared" si="99"/>
        <v>7147660</v>
      </c>
      <c r="K138" s="14">
        <f t="shared" si="99"/>
        <v>356739</v>
      </c>
      <c r="L138" s="14">
        <f t="shared" si="99"/>
        <v>2536487</v>
      </c>
      <c r="M138" s="14">
        <f t="shared" si="99"/>
        <v>71477</v>
      </c>
      <c r="N138" s="14">
        <f t="shared" si="99"/>
        <v>0</v>
      </c>
      <c r="O138" s="787">
        <f t="shared" si="99"/>
        <v>9.3033000000000001</v>
      </c>
      <c r="P138" s="120">
        <f t="shared" si="99"/>
        <v>-36000</v>
      </c>
      <c r="Q138" s="14">
        <f t="shared" si="99"/>
        <v>0</v>
      </c>
      <c r="R138" s="14">
        <f t="shared" si="99"/>
        <v>0</v>
      </c>
      <c r="S138" s="14">
        <f t="shared" si="99"/>
        <v>0</v>
      </c>
      <c r="T138" s="14">
        <f t="shared" si="99"/>
        <v>0</v>
      </c>
      <c r="U138" s="14">
        <f t="shared" si="99"/>
        <v>0</v>
      </c>
      <c r="V138" s="14">
        <f t="shared" si="99"/>
        <v>-36000</v>
      </c>
      <c r="W138" s="14">
        <f t="shared" si="99"/>
        <v>36000</v>
      </c>
      <c r="X138" s="14">
        <f t="shared" si="99"/>
        <v>0</v>
      </c>
      <c r="Y138" s="14">
        <f t="shared" si="99"/>
        <v>0</v>
      </c>
      <c r="Z138" s="14">
        <f t="shared" si="99"/>
        <v>36000</v>
      </c>
      <c r="AA138" s="14">
        <f t="shared" si="99"/>
        <v>0</v>
      </c>
      <c r="AB138" s="14">
        <f t="shared" si="99"/>
        <v>0</v>
      </c>
      <c r="AC138" s="14">
        <f t="shared" si="99"/>
        <v>-360</v>
      </c>
      <c r="AD138" s="14">
        <f t="shared" si="99"/>
        <v>0</v>
      </c>
      <c r="AE138" s="626">
        <f t="shared" si="99"/>
        <v>-360</v>
      </c>
      <c r="AF138" s="632">
        <f t="shared" si="99"/>
        <v>-2.0000000000000004E-2</v>
      </c>
      <c r="AG138" s="11">
        <f t="shared" si="99"/>
        <v>0</v>
      </c>
      <c r="AH138" s="11">
        <f t="shared" si="99"/>
        <v>0</v>
      </c>
      <c r="AI138" s="11">
        <f t="shared" si="99"/>
        <v>0</v>
      </c>
      <c r="AJ138" s="11">
        <f t="shared" si="99"/>
        <v>0</v>
      </c>
      <c r="AK138" s="11">
        <f t="shared" si="99"/>
        <v>0</v>
      </c>
      <c r="AL138" s="633">
        <f t="shared" si="99"/>
        <v>-2.0000000000000004E-2</v>
      </c>
      <c r="AM138" s="119">
        <f t="shared" si="99"/>
        <v>10112003</v>
      </c>
      <c r="AN138" s="14">
        <f t="shared" si="99"/>
        <v>7111660</v>
      </c>
      <c r="AO138" s="14">
        <f t="shared" si="99"/>
        <v>392739</v>
      </c>
      <c r="AP138" s="14">
        <f t="shared" si="99"/>
        <v>2536487</v>
      </c>
      <c r="AQ138" s="14">
        <f t="shared" si="99"/>
        <v>71117</v>
      </c>
      <c r="AR138" s="14">
        <f t="shared" si="99"/>
        <v>0</v>
      </c>
      <c r="AS138" s="633">
        <f t="shared" si="99"/>
        <v>9.2833000000000006</v>
      </c>
    </row>
    <row r="139" spans="1:45" s="60" customFormat="1" ht="12.95" customHeight="1" x14ac:dyDescent="0.25">
      <c r="D139" s="236"/>
      <c r="E139" s="237"/>
      <c r="F139" s="236"/>
      <c r="G139" s="238"/>
      <c r="H139" s="2">
        <v>3124</v>
      </c>
      <c r="I139" s="119">
        <f t="shared" ref="I139:AS139" si="100">SUMIF($F$12:$F$401,"=3124",I$12:I$401)</f>
        <v>0</v>
      </c>
      <c r="J139" s="14">
        <f t="shared" si="100"/>
        <v>0</v>
      </c>
      <c r="K139" s="14">
        <f t="shared" si="100"/>
        <v>0</v>
      </c>
      <c r="L139" s="14">
        <f t="shared" si="100"/>
        <v>0</v>
      </c>
      <c r="M139" s="14">
        <f t="shared" si="100"/>
        <v>0</v>
      </c>
      <c r="N139" s="14">
        <f t="shared" si="100"/>
        <v>0</v>
      </c>
      <c r="O139" s="787">
        <f t="shared" si="100"/>
        <v>0</v>
      </c>
      <c r="P139" s="120">
        <f t="shared" si="100"/>
        <v>0</v>
      </c>
      <c r="Q139" s="14">
        <f t="shared" si="100"/>
        <v>0</v>
      </c>
      <c r="R139" s="14">
        <f t="shared" si="100"/>
        <v>0</v>
      </c>
      <c r="S139" s="14">
        <f t="shared" si="100"/>
        <v>0</v>
      </c>
      <c r="T139" s="14">
        <f t="shared" si="100"/>
        <v>0</v>
      </c>
      <c r="U139" s="14">
        <f t="shared" si="100"/>
        <v>0</v>
      </c>
      <c r="V139" s="14">
        <f t="shared" si="100"/>
        <v>0</v>
      </c>
      <c r="W139" s="14">
        <f t="shared" si="100"/>
        <v>0</v>
      </c>
      <c r="X139" s="14">
        <f t="shared" si="100"/>
        <v>0</v>
      </c>
      <c r="Y139" s="14">
        <f t="shared" si="100"/>
        <v>0</v>
      </c>
      <c r="Z139" s="14">
        <f t="shared" si="100"/>
        <v>0</v>
      </c>
      <c r="AA139" s="14">
        <f t="shared" si="100"/>
        <v>0</v>
      </c>
      <c r="AB139" s="14">
        <f t="shared" si="100"/>
        <v>0</v>
      </c>
      <c r="AC139" s="14">
        <f t="shared" si="100"/>
        <v>0</v>
      </c>
      <c r="AD139" s="14">
        <f t="shared" si="100"/>
        <v>0</v>
      </c>
      <c r="AE139" s="626">
        <f t="shared" si="100"/>
        <v>0</v>
      </c>
      <c r="AF139" s="632">
        <f t="shared" si="100"/>
        <v>0</v>
      </c>
      <c r="AG139" s="11">
        <f t="shared" si="100"/>
        <v>0</v>
      </c>
      <c r="AH139" s="11">
        <f t="shared" si="100"/>
        <v>0</v>
      </c>
      <c r="AI139" s="11">
        <f t="shared" si="100"/>
        <v>0</v>
      </c>
      <c r="AJ139" s="11">
        <f t="shared" si="100"/>
        <v>0</v>
      </c>
      <c r="AK139" s="11">
        <f t="shared" si="100"/>
        <v>0</v>
      </c>
      <c r="AL139" s="633">
        <f t="shared" si="100"/>
        <v>0</v>
      </c>
      <c r="AM139" s="119">
        <f t="shared" si="100"/>
        <v>0</v>
      </c>
      <c r="AN139" s="14">
        <f t="shared" si="100"/>
        <v>0</v>
      </c>
      <c r="AO139" s="14">
        <f t="shared" si="100"/>
        <v>0</v>
      </c>
      <c r="AP139" s="14">
        <f t="shared" si="100"/>
        <v>0</v>
      </c>
      <c r="AQ139" s="14">
        <f t="shared" si="100"/>
        <v>0</v>
      </c>
      <c r="AR139" s="14">
        <f t="shared" si="100"/>
        <v>0</v>
      </c>
      <c r="AS139" s="633">
        <f t="shared" si="100"/>
        <v>0</v>
      </c>
    </row>
    <row r="140" spans="1:45" s="60" customFormat="1" x14ac:dyDescent="0.25">
      <c r="D140" s="236"/>
      <c r="E140" s="237"/>
      <c r="F140" s="236"/>
      <c r="G140" s="238"/>
      <c r="H140" s="2">
        <v>3141</v>
      </c>
      <c r="I140" s="119">
        <f t="shared" ref="I140:AS140" si="101">SUMIF($F$12:$F$401,"=3141",I$12:I$401)</f>
        <v>0</v>
      </c>
      <c r="J140" s="14">
        <f t="shared" si="101"/>
        <v>0</v>
      </c>
      <c r="K140" s="14">
        <f t="shared" si="101"/>
        <v>0</v>
      </c>
      <c r="L140" s="14">
        <f t="shared" si="101"/>
        <v>0</v>
      </c>
      <c r="M140" s="14">
        <f t="shared" si="101"/>
        <v>0</v>
      </c>
      <c r="N140" s="14">
        <f t="shared" si="101"/>
        <v>0</v>
      </c>
      <c r="O140" s="787">
        <f t="shared" si="101"/>
        <v>0</v>
      </c>
      <c r="P140" s="120">
        <f t="shared" si="101"/>
        <v>0</v>
      </c>
      <c r="Q140" s="14">
        <f t="shared" si="101"/>
        <v>0</v>
      </c>
      <c r="R140" s="14">
        <f t="shared" si="101"/>
        <v>0</v>
      </c>
      <c r="S140" s="14">
        <f t="shared" si="101"/>
        <v>0</v>
      </c>
      <c r="T140" s="14">
        <f t="shared" si="101"/>
        <v>0</v>
      </c>
      <c r="U140" s="14">
        <f t="shared" si="101"/>
        <v>0</v>
      </c>
      <c r="V140" s="14">
        <f t="shared" si="101"/>
        <v>0</v>
      </c>
      <c r="W140" s="14">
        <f t="shared" si="101"/>
        <v>0</v>
      </c>
      <c r="X140" s="14">
        <f t="shared" si="101"/>
        <v>0</v>
      </c>
      <c r="Y140" s="14">
        <f t="shared" si="101"/>
        <v>0</v>
      </c>
      <c r="Z140" s="14">
        <f t="shared" si="101"/>
        <v>0</v>
      </c>
      <c r="AA140" s="14">
        <f t="shared" si="101"/>
        <v>0</v>
      </c>
      <c r="AB140" s="14">
        <f t="shared" si="101"/>
        <v>0</v>
      </c>
      <c r="AC140" s="14">
        <f t="shared" si="101"/>
        <v>0</v>
      </c>
      <c r="AD140" s="14">
        <f t="shared" si="101"/>
        <v>0</v>
      </c>
      <c r="AE140" s="626">
        <f t="shared" si="101"/>
        <v>0</v>
      </c>
      <c r="AF140" s="632">
        <f t="shared" si="101"/>
        <v>0</v>
      </c>
      <c r="AG140" s="11">
        <f t="shared" si="101"/>
        <v>0</v>
      </c>
      <c r="AH140" s="11">
        <f t="shared" si="101"/>
        <v>0</v>
      </c>
      <c r="AI140" s="11">
        <f t="shared" si="101"/>
        <v>0</v>
      </c>
      <c r="AJ140" s="11">
        <f t="shared" si="101"/>
        <v>0</v>
      </c>
      <c r="AK140" s="11">
        <f t="shared" si="101"/>
        <v>0</v>
      </c>
      <c r="AL140" s="633">
        <f t="shared" si="101"/>
        <v>0</v>
      </c>
      <c r="AM140" s="119">
        <f t="shared" si="101"/>
        <v>0</v>
      </c>
      <c r="AN140" s="14">
        <f t="shared" si="101"/>
        <v>0</v>
      </c>
      <c r="AO140" s="14">
        <f t="shared" si="101"/>
        <v>0</v>
      </c>
      <c r="AP140" s="14">
        <f t="shared" si="101"/>
        <v>0</v>
      </c>
      <c r="AQ140" s="14">
        <f t="shared" si="101"/>
        <v>0</v>
      </c>
      <c r="AR140" s="14">
        <f t="shared" si="101"/>
        <v>0</v>
      </c>
      <c r="AS140" s="633">
        <f t="shared" si="101"/>
        <v>0</v>
      </c>
    </row>
    <row r="141" spans="1:45" s="60" customFormat="1" x14ac:dyDescent="0.25">
      <c r="D141" s="236"/>
      <c r="E141" s="237"/>
      <c r="F141" s="236"/>
      <c r="G141" s="238"/>
      <c r="H141" s="2">
        <v>3143</v>
      </c>
      <c r="I141" s="119">
        <f t="shared" ref="I141:AS141" si="102">SUMIF($F$12:$F$401,"=3143",I$12:I$401)</f>
        <v>16513572</v>
      </c>
      <c r="J141" s="14">
        <f t="shared" si="102"/>
        <v>12145012</v>
      </c>
      <c r="K141" s="14">
        <f t="shared" si="102"/>
        <v>106200</v>
      </c>
      <c r="L141" s="14">
        <f t="shared" si="102"/>
        <v>4140911</v>
      </c>
      <c r="M141" s="14">
        <f t="shared" si="102"/>
        <v>121449</v>
      </c>
      <c r="N141" s="14">
        <f t="shared" si="102"/>
        <v>0</v>
      </c>
      <c r="O141" s="787">
        <f t="shared" si="102"/>
        <v>23.186100000000003</v>
      </c>
      <c r="P141" s="120">
        <f t="shared" si="102"/>
        <v>-70800</v>
      </c>
      <c r="Q141" s="14">
        <f t="shared" si="102"/>
        <v>0</v>
      </c>
      <c r="R141" s="14">
        <f t="shared" si="102"/>
        <v>0</v>
      </c>
      <c r="S141" s="14">
        <f t="shared" si="102"/>
        <v>0</v>
      </c>
      <c r="T141" s="14">
        <f t="shared" si="102"/>
        <v>0</v>
      </c>
      <c r="U141" s="14">
        <f t="shared" si="102"/>
        <v>0</v>
      </c>
      <c r="V141" s="14">
        <f t="shared" si="102"/>
        <v>-70800</v>
      </c>
      <c r="W141" s="14">
        <f t="shared" si="102"/>
        <v>70800</v>
      </c>
      <c r="X141" s="14">
        <f t="shared" si="102"/>
        <v>0</v>
      </c>
      <c r="Y141" s="14">
        <f t="shared" si="102"/>
        <v>0</v>
      </c>
      <c r="Z141" s="14">
        <f t="shared" si="102"/>
        <v>70800</v>
      </c>
      <c r="AA141" s="14">
        <f t="shared" si="102"/>
        <v>0</v>
      </c>
      <c r="AB141" s="14">
        <f t="shared" si="102"/>
        <v>0</v>
      </c>
      <c r="AC141" s="14">
        <f t="shared" si="102"/>
        <v>-708</v>
      </c>
      <c r="AD141" s="14">
        <f t="shared" si="102"/>
        <v>0</v>
      </c>
      <c r="AE141" s="626">
        <f t="shared" si="102"/>
        <v>-708</v>
      </c>
      <c r="AF141" s="632">
        <f t="shared" si="102"/>
        <v>-0.08</v>
      </c>
      <c r="AG141" s="11">
        <f t="shared" si="102"/>
        <v>0</v>
      </c>
      <c r="AH141" s="11">
        <f t="shared" si="102"/>
        <v>0</v>
      </c>
      <c r="AI141" s="11">
        <f t="shared" si="102"/>
        <v>0</v>
      </c>
      <c r="AJ141" s="11">
        <f t="shared" si="102"/>
        <v>0</v>
      </c>
      <c r="AK141" s="11">
        <f t="shared" si="102"/>
        <v>0</v>
      </c>
      <c r="AL141" s="633">
        <f t="shared" si="102"/>
        <v>-0.08</v>
      </c>
      <c r="AM141" s="119">
        <f t="shared" si="102"/>
        <v>16512864</v>
      </c>
      <c r="AN141" s="14">
        <f t="shared" si="102"/>
        <v>12074212</v>
      </c>
      <c r="AO141" s="14">
        <f t="shared" si="102"/>
        <v>177000</v>
      </c>
      <c r="AP141" s="14">
        <f t="shared" si="102"/>
        <v>4140911</v>
      </c>
      <c r="AQ141" s="14">
        <f t="shared" si="102"/>
        <v>120741</v>
      </c>
      <c r="AR141" s="14">
        <f t="shared" si="102"/>
        <v>0</v>
      </c>
      <c r="AS141" s="633">
        <f t="shared" si="102"/>
        <v>23.106099999999998</v>
      </c>
    </row>
    <row r="142" spans="1:45" s="60" customFormat="1" x14ac:dyDescent="0.25">
      <c r="D142" s="236"/>
      <c r="E142" s="237"/>
      <c r="F142" s="236"/>
      <c r="G142" s="238"/>
      <c r="H142" s="2">
        <v>3231</v>
      </c>
      <c r="I142" s="119">
        <f t="shared" ref="I142:AS142" si="103">SUMIF($F$12:$F$401,"=3231",I$12:I$401)</f>
        <v>36743082</v>
      </c>
      <c r="J142" s="14">
        <f t="shared" si="103"/>
        <v>27207453</v>
      </c>
      <c r="K142" s="14">
        <f t="shared" si="103"/>
        <v>50400</v>
      </c>
      <c r="L142" s="14">
        <f t="shared" si="103"/>
        <v>9213155</v>
      </c>
      <c r="M142" s="14">
        <f t="shared" si="103"/>
        <v>272074</v>
      </c>
      <c r="N142" s="14">
        <f t="shared" si="103"/>
        <v>0</v>
      </c>
      <c r="O142" s="787">
        <f t="shared" si="103"/>
        <v>40.811900000000001</v>
      </c>
      <c r="P142" s="120">
        <f t="shared" si="103"/>
        <v>-33600</v>
      </c>
      <c r="Q142" s="14">
        <f t="shared" si="103"/>
        <v>0</v>
      </c>
      <c r="R142" s="14">
        <f t="shared" si="103"/>
        <v>0</v>
      </c>
      <c r="S142" s="14">
        <f t="shared" si="103"/>
        <v>0</v>
      </c>
      <c r="T142" s="14">
        <f t="shared" si="103"/>
        <v>0</v>
      </c>
      <c r="U142" s="14">
        <f t="shared" si="103"/>
        <v>0</v>
      </c>
      <c r="V142" s="14">
        <f t="shared" si="103"/>
        <v>-33600</v>
      </c>
      <c r="W142" s="14">
        <f t="shared" si="103"/>
        <v>33600</v>
      </c>
      <c r="X142" s="14">
        <f t="shared" si="103"/>
        <v>0</v>
      </c>
      <c r="Y142" s="14">
        <f t="shared" si="103"/>
        <v>0</v>
      </c>
      <c r="Z142" s="14">
        <f t="shared" si="103"/>
        <v>33600</v>
      </c>
      <c r="AA142" s="14">
        <f t="shared" si="103"/>
        <v>0</v>
      </c>
      <c r="AB142" s="14">
        <f t="shared" si="103"/>
        <v>0</v>
      </c>
      <c r="AC142" s="14">
        <f t="shared" si="103"/>
        <v>-336</v>
      </c>
      <c r="AD142" s="14">
        <f t="shared" si="103"/>
        <v>0</v>
      </c>
      <c r="AE142" s="626">
        <f t="shared" si="103"/>
        <v>-336</v>
      </c>
      <c r="AF142" s="632">
        <f t="shared" si="103"/>
        <v>-0.05</v>
      </c>
      <c r="AG142" s="11">
        <f t="shared" si="103"/>
        <v>0</v>
      </c>
      <c r="AH142" s="11">
        <f t="shared" si="103"/>
        <v>0</v>
      </c>
      <c r="AI142" s="11">
        <f t="shared" si="103"/>
        <v>0</v>
      </c>
      <c r="AJ142" s="11">
        <f t="shared" si="103"/>
        <v>0</v>
      </c>
      <c r="AK142" s="11">
        <f t="shared" si="103"/>
        <v>0</v>
      </c>
      <c r="AL142" s="633">
        <f t="shared" si="103"/>
        <v>-0.05</v>
      </c>
      <c r="AM142" s="119">
        <f t="shared" si="103"/>
        <v>36742746</v>
      </c>
      <c r="AN142" s="14">
        <f t="shared" si="103"/>
        <v>27173853</v>
      </c>
      <c r="AO142" s="14">
        <f t="shared" si="103"/>
        <v>84000</v>
      </c>
      <c r="AP142" s="14">
        <f t="shared" si="103"/>
        <v>9213155</v>
      </c>
      <c r="AQ142" s="14">
        <f t="shared" si="103"/>
        <v>271738</v>
      </c>
      <c r="AR142" s="14">
        <f t="shared" si="103"/>
        <v>0</v>
      </c>
      <c r="AS142" s="633">
        <f t="shared" si="103"/>
        <v>40.761899999999997</v>
      </c>
    </row>
    <row r="143" spans="1:45" s="60" customFormat="1" ht="15.75" thickBot="1" x14ac:dyDescent="0.3">
      <c r="D143" s="236"/>
      <c r="E143" s="237"/>
      <c r="F143" s="236"/>
      <c r="G143" s="238"/>
      <c r="H143" s="103">
        <v>3233</v>
      </c>
      <c r="I143" s="122">
        <f t="shared" ref="I143:AS143" si="104">SUMIF($F$12:$F$401,"=3233",I$12:I$401)</f>
        <v>4784348</v>
      </c>
      <c r="J143" s="123">
        <f t="shared" si="104"/>
        <v>3534329</v>
      </c>
      <c r="K143" s="123">
        <f t="shared" si="104"/>
        <v>15000</v>
      </c>
      <c r="L143" s="123">
        <f t="shared" si="104"/>
        <v>1199675</v>
      </c>
      <c r="M143" s="123">
        <f t="shared" si="104"/>
        <v>35344</v>
      </c>
      <c r="N143" s="123">
        <f t="shared" si="104"/>
        <v>0</v>
      </c>
      <c r="O143" s="788">
        <f t="shared" si="104"/>
        <v>5.98</v>
      </c>
      <c r="P143" s="125">
        <f t="shared" si="104"/>
        <v>-10000</v>
      </c>
      <c r="Q143" s="123">
        <f t="shared" si="104"/>
        <v>0</v>
      </c>
      <c r="R143" s="123">
        <f t="shared" si="104"/>
        <v>0</v>
      </c>
      <c r="S143" s="123">
        <f t="shared" si="104"/>
        <v>0</v>
      </c>
      <c r="T143" s="123">
        <f t="shared" si="104"/>
        <v>0</v>
      </c>
      <c r="U143" s="123">
        <f t="shared" si="104"/>
        <v>0</v>
      </c>
      <c r="V143" s="123">
        <f t="shared" si="104"/>
        <v>-10000</v>
      </c>
      <c r="W143" s="123">
        <f t="shared" si="104"/>
        <v>10000</v>
      </c>
      <c r="X143" s="123">
        <f t="shared" si="104"/>
        <v>0</v>
      </c>
      <c r="Y143" s="123">
        <f t="shared" si="104"/>
        <v>0</v>
      </c>
      <c r="Z143" s="123">
        <f t="shared" si="104"/>
        <v>10000</v>
      </c>
      <c r="AA143" s="123">
        <f t="shared" si="104"/>
        <v>0</v>
      </c>
      <c r="AB143" s="123">
        <f t="shared" si="104"/>
        <v>0</v>
      </c>
      <c r="AC143" s="123">
        <f t="shared" si="104"/>
        <v>-100</v>
      </c>
      <c r="AD143" s="123">
        <f t="shared" si="104"/>
        <v>0</v>
      </c>
      <c r="AE143" s="627">
        <f t="shared" si="104"/>
        <v>-100</v>
      </c>
      <c r="AF143" s="634">
        <f t="shared" si="104"/>
        <v>0.03</v>
      </c>
      <c r="AG143" s="124">
        <f t="shared" si="104"/>
        <v>0</v>
      </c>
      <c r="AH143" s="124">
        <f t="shared" si="104"/>
        <v>0</v>
      </c>
      <c r="AI143" s="124">
        <f t="shared" si="104"/>
        <v>0</v>
      </c>
      <c r="AJ143" s="124">
        <f t="shared" si="104"/>
        <v>0</v>
      </c>
      <c r="AK143" s="124">
        <f t="shared" si="104"/>
        <v>0</v>
      </c>
      <c r="AL143" s="635">
        <f t="shared" si="104"/>
        <v>0.03</v>
      </c>
      <c r="AM143" s="122">
        <f t="shared" si="104"/>
        <v>4784248</v>
      </c>
      <c r="AN143" s="123">
        <f t="shared" si="104"/>
        <v>3524329</v>
      </c>
      <c r="AO143" s="123">
        <f t="shared" si="104"/>
        <v>25000</v>
      </c>
      <c r="AP143" s="123">
        <f t="shared" si="104"/>
        <v>1199675</v>
      </c>
      <c r="AQ143" s="123">
        <f t="shared" si="104"/>
        <v>35244</v>
      </c>
      <c r="AR143" s="123">
        <f t="shared" si="104"/>
        <v>0</v>
      </c>
      <c r="AS143" s="635">
        <f t="shared" si="104"/>
        <v>6.01</v>
      </c>
    </row>
    <row r="145" spans="1:45" s="239" customFormat="1" x14ac:dyDescent="0.25">
      <c r="A145" s="233"/>
      <c r="B145" s="175"/>
      <c r="C145" s="267"/>
      <c r="D145" s="175"/>
      <c r="E145" s="175"/>
      <c r="F145" s="175"/>
      <c r="G145" s="175"/>
      <c r="H145" s="175"/>
      <c r="O145" s="701"/>
      <c r="T145" s="462"/>
      <c r="AA145" s="240"/>
      <c r="AB145" s="240"/>
      <c r="AF145" s="240"/>
      <c r="AG145" s="240"/>
      <c r="AH145" s="240"/>
      <c r="AI145" s="240"/>
      <c r="AJ145" s="463"/>
      <c r="AK145" s="240"/>
      <c r="AL145" s="240"/>
      <c r="AM145" s="240"/>
      <c r="AN145" s="240"/>
      <c r="AO145" s="240"/>
      <c r="AP145" s="240"/>
      <c r="AQ145" s="240"/>
      <c r="AR145" s="240"/>
      <c r="AS145" s="240"/>
    </row>
  </sheetData>
  <mergeCells count="46">
    <mergeCell ref="A3:E3"/>
    <mergeCell ref="I8:I10"/>
    <mergeCell ref="I6:O7"/>
    <mergeCell ref="Z9:Z10"/>
    <mergeCell ref="P6:AL6"/>
    <mergeCell ref="V9:V10"/>
    <mergeCell ref="X9:X10"/>
    <mergeCell ref="R9:R10"/>
    <mergeCell ref="AF7:AL7"/>
    <mergeCell ref="M9:M10"/>
    <mergeCell ref="AE7:AE10"/>
    <mergeCell ref="Q9:Q10"/>
    <mergeCell ref="P7:V8"/>
    <mergeCell ref="W7:Z8"/>
    <mergeCell ref="AJ8:AJ10"/>
    <mergeCell ref="AK8:AK10"/>
    <mergeCell ref="AL8:AL10"/>
    <mergeCell ref="AB7:AB10"/>
    <mergeCell ref="AC7:AC10"/>
    <mergeCell ref="AH8:AH10"/>
    <mergeCell ref="AI8:AI10"/>
    <mergeCell ref="AD7:AD10"/>
    <mergeCell ref="AF8:AF10"/>
    <mergeCell ref="AG8:AG10"/>
    <mergeCell ref="AM6:AS7"/>
    <mergeCell ref="AO9:AO10"/>
    <mergeCell ref="AS8:AS10"/>
    <mergeCell ref="AN9:AN10"/>
    <mergeCell ref="AP9:AP10"/>
    <mergeCell ref="AQ9:AQ10"/>
    <mergeCell ref="AM8:AM10"/>
    <mergeCell ref="AR9:AR10"/>
    <mergeCell ref="AN8:AQ8"/>
    <mergeCell ref="N9:N10"/>
    <mergeCell ref="O8:O10"/>
    <mergeCell ref="J9:J10"/>
    <mergeCell ref="L9:L10"/>
    <mergeCell ref="J8:M8"/>
    <mergeCell ref="K9:K10"/>
    <mergeCell ref="AA7:AA10"/>
    <mergeCell ref="P9:P10"/>
    <mergeCell ref="S9:S10"/>
    <mergeCell ref="U9:U10"/>
    <mergeCell ref="W9:W10"/>
    <mergeCell ref="Y9:Y10"/>
    <mergeCell ref="T9:T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</vt:i4>
      </vt:variant>
    </vt:vector>
  </HeadingPairs>
  <TitlesOfParts>
    <vt:vector size="14" baseType="lpstr">
      <vt:lpstr>komentář</vt:lpstr>
      <vt:lpstr>LB </vt:lpstr>
      <vt:lpstr>FR</vt:lpstr>
      <vt:lpstr>JN</vt:lpstr>
      <vt:lpstr>TA</vt:lpstr>
      <vt:lpstr>ŽB</vt:lpstr>
      <vt:lpstr>ČL</vt:lpstr>
      <vt:lpstr>NB</vt:lpstr>
      <vt:lpstr>SM</vt:lpstr>
      <vt:lpstr>JI</vt:lpstr>
      <vt:lpstr>TU</vt:lpstr>
      <vt:lpstr>sumář</vt:lpstr>
      <vt:lpstr>FR!Názvy_tisku</vt:lpstr>
      <vt:lpstr>'LB '!Názvy_tisku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admin;katerina.parmova@kraj-lbc.cz</dc:creator>
  <cp:lastModifiedBy>Parmová Kateřina</cp:lastModifiedBy>
  <cp:lastPrinted>2026-06-10T13:59:36Z</cp:lastPrinted>
  <dcterms:created xsi:type="dcterms:W3CDTF">2009-03-06T07:28:09Z</dcterms:created>
  <dcterms:modified xsi:type="dcterms:W3CDTF">2026-06-15T06:19:26Z</dcterms:modified>
</cp:coreProperties>
</file>